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/>
  <mc:AlternateContent xmlns:mc="http://schemas.openxmlformats.org/markup-compatibility/2006">
    <mc:Choice Requires="x15">
      <x15ac:absPath xmlns:x15ac="http://schemas.microsoft.com/office/spreadsheetml/2010/11/ac" url="C:\Users\eugene\Desktop\"/>
    </mc:Choice>
  </mc:AlternateContent>
  <xr:revisionPtr revIDLastSave="0" documentId="13_ncr:1_{A9384957-596F-42FF-917F-8BECCFC26693}" xr6:coauthVersionLast="36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AP" sheetId="18" r:id="rId1"/>
    <sheet name="Lilian" sheetId="8" state="hidden" r:id="rId2"/>
    <sheet name="Cap Table" sheetId="5" state="hidden" r:id="rId3"/>
    <sheet name="Stock Options" sheetId="6" state="hidden" r:id="rId4"/>
  </sheets>
  <definedNames>
    <definedName name="OLE_LINK1" localSheetId="2">'Cap Table'!$B$6</definedName>
    <definedName name="OLE_LINK3" localSheetId="2">'Cap Table'!$B$8</definedName>
  </definedNames>
  <calcPr calcId="191029" iterate="1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1" i="18" l="1"/>
  <c r="B52" i="18"/>
  <c r="B53" i="18"/>
  <c r="B50" i="18"/>
  <c r="A56" i="18" l="1"/>
  <c r="A57" i="18"/>
  <c r="D87" i="18"/>
  <c r="D86" i="18"/>
  <c r="C87" i="18"/>
  <c r="C86" i="18"/>
  <c r="B87" i="18"/>
  <c r="B86" i="18"/>
  <c r="A87" i="18"/>
  <c r="A86" i="18"/>
  <c r="O59" i="18" l="1"/>
  <c r="O60" i="18"/>
  <c r="O61" i="18"/>
  <c r="O62" i="18"/>
  <c r="O63" i="18"/>
  <c r="O64" i="18"/>
  <c r="O65" i="18"/>
  <c r="O66" i="18"/>
  <c r="O67" i="18"/>
  <c r="O68" i="18"/>
  <c r="O69" i="18"/>
  <c r="O70" i="18"/>
  <c r="O71" i="18"/>
  <c r="O72" i="18"/>
  <c r="A85" i="18"/>
  <c r="B85" i="18"/>
  <c r="C85" i="18"/>
  <c r="D85" i="18"/>
  <c r="D84" i="18"/>
  <c r="C84" i="18"/>
  <c r="B84" i="18"/>
  <c r="J51" i="18"/>
  <c r="J52" i="18"/>
  <c r="J53" i="18"/>
  <c r="A84" i="18"/>
  <c r="B78" i="18"/>
  <c r="B79" i="18"/>
  <c r="B80" i="18"/>
  <c r="C74" i="18"/>
  <c r="D53" i="18"/>
  <c r="D52" i="18"/>
  <c r="D51" i="18"/>
  <c r="D50" i="18"/>
  <c r="A55" i="18"/>
  <c r="A54" i="18"/>
  <c r="A53" i="18"/>
  <c r="A52" i="18"/>
  <c r="A51" i="18"/>
  <c r="A50" i="18"/>
  <c r="B88" i="18" l="1"/>
  <c r="I51" i="18"/>
  <c r="I53" i="18"/>
  <c r="I52" i="18"/>
  <c r="F51" i="18"/>
  <c r="F53" i="18"/>
  <c r="F52" i="18"/>
  <c r="I74" i="18"/>
  <c r="J50" i="18"/>
  <c r="I50" i="18"/>
  <c r="O50" i="18" l="1"/>
  <c r="M50" i="18"/>
  <c r="M53" i="18"/>
  <c r="O53" i="18"/>
  <c r="M52" i="18"/>
  <c r="O52" i="18"/>
  <c r="O51" i="18"/>
  <c r="M51" i="18"/>
  <c r="I75" i="18"/>
  <c r="F50" i="18"/>
  <c r="B75" i="18"/>
  <c r="E11" i="18" s="1"/>
  <c r="D75" i="18" l="1"/>
  <c r="E74" i="18" s="1"/>
  <c r="E52" i="18" l="1"/>
  <c r="E50" i="18"/>
  <c r="E51" i="18"/>
  <c r="E53" i="18"/>
  <c r="J74" i="18" l="1"/>
  <c r="O74" i="18" s="1"/>
  <c r="C75" i="18"/>
  <c r="F74" i="18"/>
  <c r="F75" i="18" l="1"/>
  <c r="G74" i="18" s="1"/>
  <c r="C19" i="8"/>
  <c r="C20" i="8" s="1"/>
  <c r="C22" i="8" s="1"/>
  <c r="B19" i="8"/>
  <c r="B20" i="8" s="1"/>
  <c r="B22" i="8" s="1"/>
  <c r="G13" i="6"/>
  <c r="C5" i="8"/>
  <c r="G6" i="8"/>
  <c r="B4" i="8"/>
  <c r="D28" i="5"/>
  <c r="C24" i="6"/>
  <c r="D12" i="5"/>
  <c r="D13" i="5" s="1"/>
  <c r="C6" i="6"/>
  <c r="C8" i="6"/>
  <c r="H15" i="5"/>
  <c r="K15" i="5" s="1"/>
  <c r="H16" i="5"/>
  <c r="K16" i="5" s="1"/>
  <c r="H17" i="5"/>
  <c r="K17" i="5" s="1"/>
  <c r="J38" i="5"/>
  <c r="E7" i="5"/>
  <c r="B18" i="5"/>
  <c r="C9" i="5" s="1"/>
  <c r="E14" i="5"/>
  <c r="E11" i="5"/>
  <c r="H11" i="5" s="1"/>
  <c r="E10" i="5"/>
  <c r="H10" i="5" s="1"/>
  <c r="K10" i="5" s="1"/>
  <c r="E9" i="5"/>
  <c r="H9" i="5" s="1"/>
  <c r="E8" i="5"/>
  <c r="E6" i="5"/>
  <c r="H6" i="5" s="1"/>
  <c r="E5" i="5"/>
  <c r="H5" i="5" s="1"/>
  <c r="F4" i="8"/>
  <c r="C16" i="8" s="1"/>
  <c r="C17" i="8" s="1"/>
  <c r="J9" i="5"/>
  <c r="D8" i="6"/>
  <c r="J8" i="5"/>
  <c r="D7" i="6"/>
  <c r="J6" i="5"/>
  <c r="J18" i="5" s="1"/>
  <c r="D5" i="6"/>
  <c r="J11" i="5"/>
  <c r="D6" i="6"/>
  <c r="J7" i="5"/>
  <c r="D4" i="6"/>
  <c r="D15" i="6" s="1"/>
  <c r="G52" i="18" l="1"/>
  <c r="G53" i="18"/>
  <c r="G50" i="18"/>
  <c r="G51" i="18"/>
  <c r="C8" i="5"/>
  <c r="K9" i="5"/>
  <c r="N9" i="5" s="1"/>
  <c r="K11" i="5"/>
  <c r="N11" i="5" s="1"/>
  <c r="Q11" i="5" s="1"/>
  <c r="C15" i="6"/>
  <c r="N10" i="5"/>
  <c r="N15" i="5"/>
  <c r="E13" i="5"/>
  <c r="D18" i="5"/>
  <c r="N17" i="5"/>
  <c r="C5" i="5"/>
  <c r="K6" i="5"/>
  <c r="H3" i="8"/>
  <c r="H2" i="8"/>
  <c r="H8" i="5"/>
  <c r="E12" i="5"/>
  <c r="G4" i="8"/>
  <c r="G9" i="8" s="1"/>
  <c r="K5" i="5"/>
  <c r="F5" i="8"/>
  <c r="G5" i="8" s="1"/>
  <c r="C10" i="5"/>
  <c r="G6" i="6"/>
  <c r="B16" i="8"/>
  <c r="B17" i="8" s="1"/>
  <c r="C6" i="5"/>
  <c r="C7" i="5"/>
  <c r="F8" i="8"/>
  <c r="G8" i="8" s="1"/>
  <c r="G75" i="18" l="1"/>
  <c r="E18" i="5"/>
  <c r="F8" i="5" s="1"/>
  <c r="C18" i="5"/>
  <c r="K18" i="5"/>
  <c r="L5" i="5" s="1"/>
  <c r="L18" i="5" s="1"/>
  <c r="N5" i="5"/>
  <c r="N6" i="5"/>
  <c r="Q9" i="5"/>
  <c r="H12" i="5"/>
  <c r="J26" i="5"/>
  <c r="J27" i="5" s="1"/>
  <c r="D24" i="5"/>
  <c r="D20" i="5"/>
  <c r="J24" i="5" s="1"/>
  <c r="K8" i="5"/>
  <c r="Q17" i="5"/>
  <c r="H13" i="5"/>
  <c r="Q10" i="5"/>
  <c r="F14" i="5" l="1"/>
  <c r="F6" i="5"/>
  <c r="F9" i="5"/>
  <c r="F12" i="5"/>
  <c r="F7" i="5"/>
  <c r="G25" i="5"/>
  <c r="G14" i="5" s="1"/>
  <c r="H14" i="5" s="1"/>
  <c r="F5" i="5"/>
  <c r="F13" i="5"/>
  <c r="F11" i="5"/>
  <c r="F10" i="5"/>
  <c r="L6" i="5"/>
  <c r="N8" i="5"/>
  <c r="L8" i="5"/>
  <c r="Q5" i="5"/>
  <c r="N18" i="5"/>
  <c r="O6" i="5" s="1"/>
  <c r="K12" i="5"/>
  <c r="M25" i="5"/>
  <c r="L9" i="5"/>
  <c r="L16" i="5"/>
  <c r="L10" i="5"/>
  <c r="L15" i="5"/>
  <c r="L17" i="5"/>
  <c r="L11" i="5"/>
  <c r="K23" i="5"/>
  <c r="K13" i="5"/>
  <c r="Q6" i="5"/>
  <c r="G7" i="5" l="1"/>
  <c r="G18" i="5" s="1"/>
  <c r="F18" i="5"/>
  <c r="O5" i="5"/>
  <c r="O18" i="5" s="1"/>
  <c r="K14" i="5"/>
  <c r="M16" i="5"/>
  <c r="N16" i="5" s="1"/>
  <c r="M14" i="5"/>
  <c r="M7" i="5"/>
  <c r="M18" i="5" s="1"/>
  <c r="Q18" i="5"/>
  <c r="R5" i="5" s="1"/>
  <c r="R18" i="5" s="1"/>
  <c r="N13" i="5"/>
  <c r="L13" i="5"/>
  <c r="L12" i="5"/>
  <c r="N12" i="5"/>
  <c r="Q8" i="5"/>
  <c r="O8" i="5"/>
  <c r="P25" i="5"/>
  <c r="P15" i="5" s="1"/>
  <c r="O11" i="5"/>
  <c r="O17" i="5"/>
  <c r="O10" i="5"/>
  <c r="O9" i="5"/>
  <c r="O15" i="5"/>
  <c r="H7" i="5" l="1"/>
  <c r="H18" i="5" s="1"/>
  <c r="I7" i="5" s="1"/>
  <c r="R8" i="5"/>
  <c r="O13" i="5"/>
  <c r="Q13" i="5"/>
  <c r="R13" i="5" s="1"/>
  <c r="N14" i="5"/>
  <c r="L14" i="5"/>
  <c r="R11" i="5"/>
  <c r="R10" i="5"/>
  <c r="R9" i="5"/>
  <c r="R17" i="5"/>
  <c r="O16" i="5"/>
  <c r="Q16" i="5"/>
  <c r="R16" i="5" s="1"/>
  <c r="P18" i="5"/>
  <c r="Q15" i="5"/>
  <c r="R15" i="5" s="1"/>
  <c r="R6" i="5"/>
  <c r="Q12" i="5"/>
  <c r="R12" i="5" s="1"/>
  <c r="O12" i="5"/>
  <c r="K7" i="5" l="1"/>
  <c r="N7" i="5" s="1"/>
  <c r="B30" i="5"/>
  <c r="I6" i="5"/>
  <c r="I11" i="5"/>
  <c r="I10" i="5"/>
  <c r="I5" i="5"/>
  <c r="I9" i="5"/>
  <c r="I8" i="5"/>
  <c r="I12" i="5"/>
  <c r="I13" i="5"/>
  <c r="I14" i="5"/>
  <c r="O14" i="5"/>
  <c r="Q14" i="5"/>
  <c r="R14" i="5" s="1"/>
  <c r="L7" i="5" l="1"/>
  <c r="O7" i="5"/>
  <c r="Q7" i="5"/>
  <c r="R7" i="5" s="1"/>
  <c r="I18" i="5"/>
  <c r="E75" i="18" l="1"/>
  <c r="N50" i="18"/>
  <c r="P50" i="18"/>
  <c r="N51" i="18"/>
  <c r="P51" i="18"/>
  <c r="N52" i="18"/>
  <c r="P52" i="18"/>
  <c r="N53" i="18"/>
  <c r="P53" i="18"/>
  <c r="K54" i="18"/>
  <c r="M54" i="18"/>
  <c r="N54" i="18"/>
  <c r="O54" i="18"/>
  <c r="P54" i="18"/>
  <c r="K55" i="18"/>
  <c r="M55" i="18"/>
  <c r="N55" i="18"/>
  <c r="O55" i="18"/>
  <c r="P55" i="18"/>
  <c r="K56" i="18"/>
  <c r="M56" i="18"/>
  <c r="N56" i="18"/>
  <c r="O56" i="18"/>
  <c r="P56" i="18"/>
  <c r="K57" i="18"/>
  <c r="M57" i="18"/>
  <c r="N57" i="18"/>
  <c r="O57" i="18"/>
  <c r="P57" i="18"/>
  <c r="L58" i="18"/>
  <c r="M58" i="18"/>
  <c r="N58" i="18"/>
  <c r="O58" i="18"/>
  <c r="P58" i="18"/>
  <c r="P59" i="18"/>
  <c r="P60" i="18"/>
  <c r="P61" i="18"/>
  <c r="P62" i="18"/>
  <c r="P63" i="18"/>
  <c r="P64" i="18"/>
  <c r="P65" i="18"/>
  <c r="P66" i="18"/>
  <c r="P67" i="18"/>
  <c r="P68" i="18"/>
  <c r="P69" i="18"/>
  <c r="P70" i="18"/>
  <c r="P71" i="18"/>
  <c r="P72" i="18"/>
  <c r="J73" i="18"/>
  <c r="O73" i="18"/>
  <c r="P73" i="18"/>
  <c r="P74" i="18"/>
  <c r="J75" i="18"/>
  <c r="K75" i="18"/>
  <c r="L75" i="18"/>
  <c r="M75" i="18"/>
  <c r="N75" i="18"/>
  <c r="O75" i="18"/>
  <c r="P75" i="18"/>
  <c r="B81" i="18"/>
  <c r="F84" i="18"/>
  <c r="F85" i="18"/>
  <c r="F86" i="18"/>
  <c r="F87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NBA</author>
  </authors>
  <commentList>
    <comment ref="E11" authorId="0" shapeId="0" xr:uid="{0A8FAC10-0048-4975-B547-BD36E2740A59}">
      <text>
        <r>
          <rPr>
            <b/>
            <sz val="9"/>
            <color indexed="81"/>
            <rFont val="Tahoma"/>
            <family val="2"/>
          </rPr>
          <t>NBA: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Assumption:</t>
        </r>
        <r>
          <rPr>
            <sz val="9"/>
            <color indexed="81"/>
            <rFont val="Tahoma"/>
            <family val="2"/>
          </rPr>
          <t xml:space="preserve"> in the percentage option, the founders' total outstanding shares default is 1,000,000. </t>
        </r>
      </text>
    </comment>
    <comment ref="B12" authorId="0" shapeId="0" xr:uid="{1DE3619A-991F-46BF-A254-3966658EAAE3}">
      <text>
        <r>
          <rPr>
            <b/>
            <sz val="9"/>
            <color indexed="81"/>
            <rFont val="Tahoma"/>
            <family val="2"/>
          </rPr>
          <t>NBA:</t>
        </r>
        <r>
          <rPr>
            <sz val="9"/>
            <color indexed="81"/>
            <rFont val="Tahoma"/>
            <family val="2"/>
          </rPr>
          <t xml:space="preserve">
Pull text from glossary</t>
        </r>
      </text>
    </comment>
    <comment ref="B14" authorId="0" shapeId="0" xr:uid="{D4A12D7F-DF45-475E-A2C2-68A161DB78A1}">
      <text>
        <r>
          <rPr>
            <b/>
            <sz val="9"/>
            <color indexed="81"/>
            <rFont val="Tahoma"/>
            <family val="2"/>
          </rPr>
          <t>NBA:</t>
        </r>
        <r>
          <rPr>
            <sz val="9"/>
            <color indexed="81"/>
            <rFont val="Tahoma"/>
            <family val="2"/>
          </rPr>
          <t xml:space="preserve">
Pull text from glossary - option grant</t>
        </r>
      </text>
    </comment>
    <comment ref="B16" authorId="0" shapeId="0" xr:uid="{443FDEDF-0ABE-4156-AF76-5A39A98541F5}">
      <text>
        <r>
          <rPr>
            <b/>
            <sz val="9"/>
            <color indexed="81"/>
            <rFont val="Tahoma"/>
            <family val="2"/>
          </rPr>
          <t>NBA:</t>
        </r>
        <r>
          <rPr>
            <sz val="9"/>
            <color indexed="81"/>
            <rFont val="Tahoma"/>
            <family val="2"/>
          </rPr>
          <t xml:space="preserve">
pull text from glossary</t>
        </r>
      </text>
    </comment>
    <comment ref="B18" authorId="0" shapeId="0" xr:uid="{D205401F-53A0-4E34-929C-0BA1936BFDCF}">
      <text>
        <r>
          <rPr>
            <b/>
            <sz val="9"/>
            <color indexed="81"/>
            <rFont val="Tahoma"/>
            <family val="2"/>
          </rPr>
          <t>NBA:</t>
        </r>
        <r>
          <rPr>
            <sz val="9"/>
            <color indexed="81"/>
            <rFont val="Tahoma"/>
            <family val="2"/>
          </rPr>
          <t xml:space="preserve">
Pull text from glossary</t>
        </r>
      </text>
    </comment>
    <comment ref="E18" authorId="0" shapeId="0" xr:uid="{D7CB5118-4485-4ABD-A297-A33F43FBD14C}">
      <text>
        <r>
          <rPr>
            <b/>
            <sz val="9"/>
            <color indexed="81"/>
            <rFont val="Tahoma"/>
            <family val="2"/>
          </rPr>
          <t>NBA:</t>
        </r>
        <r>
          <rPr>
            <sz val="9"/>
            <color indexed="81"/>
            <rFont val="Tahoma"/>
            <family val="2"/>
          </rPr>
          <t xml:space="preserve">
Pull text from glossary</t>
        </r>
      </text>
    </comment>
    <comment ref="F18" authorId="0" shapeId="0" xr:uid="{4D320EF4-079D-494B-B74B-FB2F87346439}">
      <text>
        <r>
          <rPr>
            <b/>
            <sz val="9"/>
            <color indexed="81"/>
            <rFont val="Tahoma"/>
            <family val="2"/>
          </rPr>
          <t>NBA:</t>
        </r>
        <r>
          <rPr>
            <sz val="9"/>
            <color indexed="81"/>
            <rFont val="Tahoma"/>
            <family val="2"/>
          </rPr>
          <t xml:space="preserve">
Pull text from glossary</t>
        </r>
      </text>
    </comment>
    <comment ref="B24" authorId="0" shapeId="0" xr:uid="{A160295D-3501-4F05-9CFF-1FC03AD3F644}">
      <text>
        <r>
          <rPr>
            <b/>
            <sz val="9"/>
            <color indexed="81"/>
            <rFont val="Tahoma"/>
            <family val="2"/>
          </rPr>
          <t>NBA:</t>
        </r>
        <r>
          <rPr>
            <sz val="9"/>
            <color indexed="81"/>
            <rFont val="Tahoma"/>
            <family val="2"/>
          </rPr>
          <t xml:space="preserve">
Pull text from glossary</t>
        </r>
      </text>
    </comment>
    <comment ref="E24" authorId="0" shapeId="0" xr:uid="{0AEAD1D1-845E-42D1-9CFC-91907FEE2309}">
      <text>
        <r>
          <rPr>
            <b/>
            <sz val="9"/>
            <color indexed="81"/>
            <rFont val="Tahoma"/>
            <family val="2"/>
          </rPr>
          <t>NBA:</t>
        </r>
        <r>
          <rPr>
            <sz val="9"/>
            <color indexed="81"/>
            <rFont val="Tahoma"/>
            <family val="2"/>
          </rPr>
          <t xml:space="preserve">
Pull text from glossary</t>
        </r>
      </text>
    </comment>
    <comment ref="F24" authorId="0" shapeId="0" xr:uid="{299D5B01-790E-4742-B251-706392D6A85D}">
      <text>
        <r>
          <rPr>
            <b/>
            <sz val="9"/>
            <color indexed="81"/>
            <rFont val="Tahoma"/>
            <family val="2"/>
          </rPr>
          <t>NBA:</t>
        </r>
        <r>
          <rPr>
            <sz val="9"/>
            <color indexed="81"/>
            <rFont val="Tahoma"/>
            <family val="2"/>
          </rPr>
          <t xml:space="preserve">
Pull text from glossary</t>
        </r>
      </text>
    </comment>
    <comment ref="A29" authorId="0" shapeId="0" xr:uid="{DA5BD516-E02E-4076-859C-193B9260AD9E}">
      <text>
        <r>
          <rPr>
            <b/>
            <sz val="9"/>
            <color indexed="81"/>
            <rFont val="Tahoma"/>
            <family val="2"/>
          </rPr>
          <t>NBA: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Assumption:</t>
        </r>
        <r>
          <rPr>
            <sz val="9"/>
            <color indexed="81"/>
            <rFont val="Tahoma"/>
            <family val="2"/>
          </rPr>
          <t xml:space="preserve"> the class of shares default is Seed Preferred Shares.</t>
        </r>
      </text>
    </comment>
    <comment ref="B31" authorId="0" shapeId="0" xr:uid="{79C3CA24-F98F-491A-AAF2-44A08F7AB266}">
      <text>
        <r>
          <rPr>
            <b/>
            <sz val="9"/>
            <color indexed="81"/>
            <rFont val="Tahoma"/>
            <family val="2"/>
          </rPr>
          <t>NBA:</t>
        </r>
        <r>
          <rPr>
            <sz val="9"/>
            <color indexed="81"/>
            <rFont val="Tahoma"/>
            <family val="2"/>
          </rPr>
          <t xml:space="preserve">
Pull text from glossary</t>
        </r>
      </text>
    </comment>
    <comment ref="B35" authorId="0" shapeId="0" xr:uid="{9A37DA77-CEA9-40D3-AE5C-097F43EE1988}">
      <text>
        <r>
          <rPr>
            <b/>
            <sz val="9"/>
            <color indexed="81"/>
            <rFont val="Tahoma"/>
            <family val="2"/>
          </rPr>
          <t>NBA:</t>
        </r>
        <r>
          <rPr>
            <sz val="9"/>
            <color indexed="81"/>
            <rFont val="Tahoma"/>
            <family val="2"/>
          </rPr>
          <t xml:space="preserve">
Pull text from glossary</t>
        </r>
      </text>
    </comment>
  </commentList>
</comments>
</file>

<file path=xl/sharedStrings.xml><?xml version="1.0" encoding="utf-8"?>
<sst xmlns="http://schemas.openxmlformats.org/spreadsheetml/2006/main" count="193" uniqueCount="146">
  <si>
    <t>Upon Incorporation</t>
  </si>
  <si>
    <t>Shareholder</t>
  </si>
  <si>
    <t>Shares</t>
  </si>
  <si>
    <t>%</t>
  </si>
  <si>
    <t>Stok options</t>
  </si>
  <si>
    <t>TD Ventures Limited</t>
  </si>
  <si>
    <t>Naschitz, Brandes, Amir &amp; Co</t>
  </si>
  <si>
    <t>Total</t>
  </si>
  <si>
    <t xml:space="preserve">Pre money value </t>
  </si>
  <si>
    <t xml:space="preserve">ArtRunners Ltd. - Capitalization Table </t>
  </si>
  <si>
    <t>Daniel Lev-er</t>
  </si>
  <si>
    <t>Morris Azulay</t>
  </si>
  <si>
    <t>Lilian Sylvia Buss</t>
  </si>
  <si>
    <t>Motty Cohen</t>
  </si>
  <si>
    <t>Advisory board members</t>
  </si>
  <si>
    <t>Alain Servais</t>
  </si>
  <si>
    <t>Fully Diluted Basis</t>
  </si>
  <si>
    <t>Total Shares</t>
  </si>
  <si>
    <t>Investment</t>
  </si>
  <si>
    <t>Price Per Share</t>
  </si>
  <si>
    <t>Pre money value  for CLA</t>
  </si>
  <si>
    <t>Equity Round</t>
  </si>
  <si>
    <t>Other CLA Investors</t>
  </si>
  <si>
    <t>CLA Investors</t>
  </si>
  <si>
    <t>Other  CLA Investors</t>
  </si>
  <si>
    <t>Other CLA Investments</t>
  </si>
  <si>
    <t>Serge</t>
  </si>
  <si>
    <t>Deferred</t>
  </si>
  <si>
    <t>Stok Options</t>
  </si>
  <si>
    <t>CLA investors</t>
  </si>
  <si>
    <t>Alain</t>
  </si>
  <si>
    <t>Others</t>
  </si>
  <si>
    <t>Round A Investors</t>
  </si>
  <si>
    <t xml:space="preserve"> CLA Investment</t>
  </si>
  <si>
    <t xml:space="preserve"> Equity Investment</t>
  </si>
  <si>
    <t xml:space="preserve">Round A </t>
  </si>
  <si>
    <t>Post CLA (FD)</t>
  </si>
  <si>
    <t>Post Stock Options (FD)</t>
  </si>
  <si>
    <t>Post A Round(FD)</t>
  </si>
  <si>
    <t>Post Investment (FD)</t>
  </si>
  <si>
    <t>Allocated</t>
  </si>
  <si>
    <t>*Motty  Vesting terms: 25% over MVP performance , 75% over 36 months from  the MVP date</t>
  </si>
  <si>
    <t>Advisory Board</t>
  </si>
  <si>
    <t>Employee</t>
  </si>
  <si>
    <t>PPS</t>
  </si>
  <si>
    <t>Sven</t>
  </si>
  <si>
    <t>**Lilian Vesting terms: over 36 months from January 1, 2016</t>
  </si>
  <si>
    <t xml:space="preserve">***Advisory board  Vesting terms: over 36 months </t>
  </si>
  <si>
    <t>New Allocation</t>
  </si>
  <si>
    <t>Unallocated option pool</t>
  </si>
  <si>
    <t>"Sweat Equity"</t>
  </si>
  <si>
    <t>Deferred Compensation</t>
  </si>
  <si>
    <t>Serge Tiroche</t>
  </si>
  <si>
    <t>Motty Cohen (*)</t>
  </si>
  <si>
    <t>Lilian Sylvia Buss (**)</t>
  </si>
  <si>
    <t>Alain Servais (***)</t>
  </si>
  <si>
    <t>Tully (***)</t>
  </si>
  <si>
    <t>Felix (***)</t>
  </si>
  <si>
    <t>Andrew (***)</t>
  </si>
  <si>
    <t>Balint</t>
  </si>
  <si>
    <t>First</t>
  </si>
  <si>
    <t>Second</t>
  </si>
  <si>
    <t>Third</t>
  </si>
  <si>
    <t xml:space="preserve">Amount </t>
  </si>
  <si>
    <t>Status as of June 30, 2016</t>
  </si>
  <si>
    <t>MVPI</t>
  </si>
  <si>
    <t>Web site</t>
  </si>
  <si>
    <t>Ukraine  Trips</t>
  </si>
  <si>
    <t xml:space="preserve">Handeling the excel Ukraine </t>
  </si>
  <si>
    <t xml:space="preserve">Hand Over to Daniel </t>
  </si>
  <si>
    <t xml:space="preserve">Open Client Issues </t>
  </si>
  <si>
    <t>Replacement candidates</t>
  </si>
  <si>
    <t>Planned Marketing Activities</t>
  </si>
  <si>
    <t>UK Board member</t>
  </si>
  <si>
    <t>Advisory board</t>
  </si>
  <si>
    <t xml:space="preserve">Keeping the interaction </t>
  </si>
  <si>
    <t>No. of Shares</t>
  </si>
  <si>
    <t xml:space="preserve">Allocated </t>
  </si>
  <si>
    <t xml:space="preserve">Stock Options </t>
  </si>
  <si>
    <t xml:space="preserve"> Vested as of August 24, 2016</t>
  </si>
  <si>
    <t>Legal obligation</t>
  </si>
  <si>
    <t>Company Good will</t>
  </si>
  <si>
    <t>shall be paid in full to the Consultant upon completion of equity financing in the Company of at least US$ 2,500,000</t>
  </si>
  <si>
    <t>Needs to pay $2,000 to convert to shares</t>
  </si>
  <si>
    <t>Stock Options ( Deferred compensation)</t>
  </si>
  <si>
    <t xml:space="preserve">PPS </t>
  </si>
  <si>
    <t xml:space="preserve">Value </t>
  </si>
  <si>
    <t>Based on $2.3 M company value</t>
  </si>
  <si>
    <t>Vested</t>
  </si>
  <si>
    <t>28.2.2016</t>
  </si>
  <si>
    <t>24.8. 2016</t>
  </si>
  <si>
    <t>No. of allocated stock options</t>
  </si>
  <si>
    <t>No. of Vested stock options</t>
  </si>
  <si>
    <t>3 years vesting schedule on a monthly basis</t>
  </si>
  <si>
    <t>Exercise price $0.2</t>
  </si>
  <si>
    <t>Terms</t>
  </si>
  <si>
    <t>Holders</t>
  </si>
  <si>
    <t xml:space="preserve">Fully Diluted % </t>
  </si>
  <si>
    <t xml:space="preserve">Purchase Amount </t>
  </si>
  <si>
    <t>Valuation Cap</t>
  </si>
  <si>
    <t>Premoney</t>
  </si>
  <si>
    <t>Discount Rate</t>
  </si>
  <si>
    <t>Other</t>
  </si>
  <si>
    <t>Pre Conversion of SAFE's</t>
  </si>
  <si>
    <t>Outstanding %</t>
  </si>
  <si>
    <t>Outstanding      #</t>
  </si>
  <si>
    <t>Fully Diluted  #</t>
  </si>
  <si>
    <t>SAFE **</t>
  </si>
  <si>
    <t>Investment by New Investor</t>
  </si>
  <si>
    <t>FOUNDER A</t>
  </si>
  <si>
    <t>FOUNDER B</t>
  </si>
  <si>
    <t>FOUNDER C</t>
  </si>
  <si>
    <t>FOUNDER D</t>
  </si>
  <si>
    <t>Ordinary Shares</t>
  </si>
  <si>
    <t>Option for Ordinary Shares</t>
  </si>
  <si>
    <t xml:space="preserve"> Seed-1 Preferred Shares </t>
  </si>
  <si>
    <t xml:space="preserve"> Seed-2 Preferred Shares</t>
  </si>
  <si>
    <t>Choose 1 for Shares or 2 for Percentage</t>
  </si>
  <si>
    <t>&gt; Add More</t>
  </si>
  <si>
    <t>B.</t>
  </si>
  <si>
    <t>A.</t>
  </si>
  <si>
    <t>C.</t>
  </si>
  <si>
    <t>SAFE PRE-1</t>
  </si>
  <si>
    <t>SAFE POST-1</t>
  </si>
  <si>
    <t>SAFE POST-2</t>
  </si>
  <si>
    <t>SAFE PRE-2</t>
  </si>
  <si>
    <t>SEED INVESTOR</t>
  </si>
  <si>
    <t>SEED INVESTOR INVESTMENT $</t>
  </si>
  <si>
    <t>D.</t>
  </si>
  <si>
    <t>Options</t>
  </si>
  <si>
    <t>TOTAL OPTIONS PROMISED</t>
  </si>
  <si>
    <t>b.</t>
  </si>
  <si>
    <t>a.</t>
  </si>
  <si>
    <t>Incorporation (Founders' Equity)</t>
  </si>
  <si>
    <t>Post Money SAFE</t>
  </si>
  <si>
    <t>Pre Money SAFE</t>
  </si>
  <si>
    <t>PRE-MONEY VALUATION</t>
  </si>
  <si>
    <t>Free Option Pool</t>
  </si>
  <si>
    <t>Total Outstanding Shares</t>
  </si>
  <si>
    <t>Free Options Pool</t>
  </si>
  <si>
    <t>Options Promised</t>
  </si>
  <si>
    <t>Post Conversion of SAFE's &amp;  Investment</t>
  </si>
  <si>
    <t>ROUND ASSUMPTIONS</t>
  </si>
  <si>
    <t>SAFEs</t>
  </si>
  <si>
    <t>YOUR COMPANY</t>
  </si>
  <si>
    <r>
      <t>FREE OPTION POOL</t>
    </r>
    <r>
      <rPr>
        <b/>
        <sz val="11"/>
        <color rgb="FFFC242C"/>
        <rFont val="Calibri"/>
        <family val="2"/>
        <scheme val="minor"/>
      </rPr>
      <t xml:space="preserve"> - 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</si>
</sst>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 ;_ * \-#,##0.00_ ;_ * &quot;-&quot;??_ ;_ @_ "/>
    <numFmt numFmtId="165" formatCode="_(&quot;$&quot;* #,##0_);_(&quot;$&quot;* \(#,##0\);_(&quot;$&quot;* &quot;-&quot;??_);_(@_)"/>
    <numFmt numFmtId="166" formatCode="_(&quot;$&quot;* #,##0.000_);_(&quot;$&quot;* \(#,##0.000\);_(&quot;$&quot;* &quot;-&quot;??_);_(@_)"/>
    <numFmt numFmtId="167" formatCode="[$$-409]#,##0.0000"/>
    <numFmt numFmtId="168" formatCode="[$$-409]#,##0.00"/>
    <numFmt numFmtId="169" formatCode="0.000%"/>
    <numFmt numFmtId="170" formatCode="_ * #,##0_ ;_ * \-#,##0_ ;_ * &quot;-&quot;??_ ;_ @_ "/>
    <numFmt numFmtId="171" formatCode="_ [$₪-40D]\ * #,##0.00_ ;_ [$₪-40D]\ * \-#,##0.00_ ;_ [$₪-40D]\ * &quot;-&quot;??_ ;_ @_ "/>
    <numFmt numFmtId="172" formatCode="0.0000"/>
    <numFmt numFmtId="173" formatCode="_-[$$-409]* #,##0_ ;_-[$$-409]* \-#,##0\ ;_-[$$-409]* &quot;-&quot;??_ ;_-@_ "/>
    <numFmt numFmtId="174" formatCode="_([$$-409]* #,##0_);_([$$-409]* \(#,##0\);_([$$-409]* &quot;-&quot;??_);_(@_)"/>
    <numFmt numFmtId="175" formatCode="_ * #,##0.000_ ;_ * \-#,##0.000_ ;_ * &quot;-&quot;??_ ;_ @_ "/>
    <numFmt numFmtId="176" formatCode="_(&quot;$&quot;* #,##0.0000_);_(&quot;$&quot;* \(#,##0.0000\);_(&quot;$&quot;* &quot;-&quot;??_);_(@_)"/>
    <numFmt numFmtId="177" formatCode="[$-1010409]d\ mmmm\ yyyy;@"/>
    <numFmt numFmtId="178" formatCode="_ * #,##0.0000_ ;_ * \-#,##0.0000_ ;_ * &quot;-&quot;??_ ;_ @_ "/>
    <numFmt numFmtId="179" formatCode="0.000"/>
    <numFmt numFmtId="180" formatCode="_-[$$-409]* #,##0.00_ ;_-[$$-409]* \-#,##0.00\ ;_-[$$-409]* &quot;-&quot;??_ ;_-@_ 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77"/>
      <scheme val="minor"/>
    </font>
    <font>
      <i/>
      <sz val="11"/>
      <color theme="1"/>
      <name val="Calibri Light"/>
      <family val="1"/>
      <scheme val="major"/>
    </font>
    <font>
      <sz val="11"/>
      <color theme="1"/>
      <name val="Calibri Light"/>
      <family val="1"/>
      <scheme val="major"/>
    </font>
    <font>
      <b/>
      <sz val="14"/>
      <color theme="1"/>
      <name val="Calibri Light"/>
      <family val="1"/>
      <scheme val="major"/>
    </font>
    <font>
      <b/>
      <u/>
      <sz val="11"/>
      <color theme="1"/>
      <name val="Calibri Light"/>
      <family val="1"/>
      <scheme val="major"/>
    </font>
    <font>
      <b/>
      <sz val="11"/>
      <color theme="1"/>
      <name val="Calibri Light"/>
      <family val="1"/>
      <scheme val="major"/>
    </font>
    <font>
      <sz val="11"/>
      <color theme="1"/>
      <name val="Times New Roman"/>
      <family val="1"/>
    </font>
    <font>
      <sz val="10"/>
      <name val="Arial"/>
      <family val="2"/>
    </font>
    <font>
      <b/>
      <sz val="11"/>
      <color theme="1"/>
      <name val="Calibri Light"/>
      <family val="2"/>
      <scheme val="major"/>
    </font>
    <font>
      <b/>
      <sz val="11"/>
      <name val="Calibri Light"/>
      <family val="1"/>
      <scheme val="major"/>
    </font>
    <font>
      <b/>
      <sz val="11"/>
      <color theme="4"/>
      <name val="Calibri Light"/>
      <family val="1"/>
      <scheme val="major"/>
    </font>
    <font>
      <sz val="11"/>
      <color theme="1"/>
      <name val="Calibri"/>
      <family val="2"/>
      <scheme val="minor"/>
    </font>
    <font>
      <b/>
      <u/>
      <sz val="11"/>
      <color theme="1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8"/>
      <name val="Calibri Light"/>
      <family val="1"/>
      <scheme val="major"/>
    </font>
    <font>
      <b/>
      <u/>
      <sz val="11"/>
      <color theme="8"/>
      <name val="Calibri Light"/>
      <family val="1"/>
      <scheme val="major"/>
    </font>
    <font>
      <sz val="10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rgb="FF00B050"/>
      <name val="Times New Roman"/>
      <family val="1"/>
    </font>
    <font>
      <sz val="8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Times New Roman"/>
      <family val="1"/>
    </font>
    <font>
      <b/>
      <i/>
      <sz val="11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Times New Roman"/>
      <family val="1"/>
    </font>
    <font>
      <i/>
      <sz val="16"/>
      <color theme="4" tint="-0.499984740745262"/>
      <name val="Franklin Gothic Demi Cond"/>
      <family val="2"/>
    </font>
    <font>
      <b/>
      <sz val="11"/>
      <color theme="1"/>
      <name val="Times New Roman"/>
      <family val="1"/>
    </font>
    <font>
      <b/>
      <i/>
      <u val="singleAccounting"/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6"/>
      <color rgb="FF000000"/>
      <name val="Times New Roman"/>
      <family val="1"/>
    </font>
    <font>
      <b/>
      <u/>
      <sz val="16"/>
      <color theme="1"/>
      <name val="Times New Roman"/>
      <family val="1"/>
    </font>
    <font>
      <b/>
      <sz val="12"/>
      <color rgb="FF00206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color theme="4" tint="-0.499984740745262"/>
      <name val="Times New Roman"/>
      <family val="1"/>
    </font>
    <font>
      <b/>
      <sz val="12"/>
      <color rgb="FF0000FF"/>
      <name val="Times New Roman"/>
      <family val="1"/>
    </font>
    <font>
      <b/>
      <u/>
      <sz val="11"/>
      <color rgb="FFFC242C"/>
      <name val="Calibri"/>
      <family val="2"/>
      <scheme val="minor"/>
    </font>
    <font>
      <b/>
      <sz val="12"/>
      <color rgb="FFFC242C"/>
      <name val="Times New Roman"/>
      <family val="1"/>
    </font>
    <font>
      <b/>
      <sz val="11"/>
      <color rgb="FFFC242C"/>
      <name val="Calibri"/>
      <family val="2"/>
      <scheme val="minor"/>
    </font>
    <font>
      <b/>
      <sz val="16"/>
      <color rgb="FFFC242C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</fills>
  <borders count="5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5">
    <xf numFmtId="0" fontId="0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9" fillId="0" borderId="0"/>
    <xf numFmtId="4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31" fillId="0" borderId="0"/>
  </cellStyleXfs>
  <cellXfs count="268">
    <xf numFmtId="0" fontId="0" fillId="0" borderId="0" xfId="0"/>
    <xf numFmtId="0" fontId="3" fillId="0" borderId="0" xfId="1" applyFont="1"/>
    <xf numFmtId="0" fontId="4" fillId="0" borderId="0" xfId="1" applyFont="1"/>
    <xf numFmtId="0" fontId="4" fillId="0" borderId="1" xfId="1" applyFont="1" applyBorder="1"/>
    <xf numFmtId="0" fontId="6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/>
    </xf>
    <xf numFmtId="0" fontId="8" fillId="0" borderId="1" xfId="1" applyFont="1" applyBorder="1" applyAlignment="1">
      <alignment horizontal="left"/>
    </xf>
    <xf numFmtId="0" fontId="6" fillId="0" borderId="0" xfId="1" applyFont="1" applyAlignment="1">
      <alignment horizontal="left"/>
    </xf>
    <xf numFmtId="3" fontId="6" fillId="0" borderId="0" xfId="1" applyNumberFormat="1" applyFont="1" applyAlignment="1">
      <alignment horizontal="center"/>
    </xf>
    <xf numFmtId="10" fontId="6" fillId="0" borderId="0" xfId="1" applyNumberFormat="1" applyFont="1" applyAlignment="1">
      <alignment horizontal="center"/>
    </xf>
    <xf numFmtId="0" fontId="4" fillId="0" borderId="2" xfId="1" applyFont="1" applyBorder="1" applyAlignment="1">
      <alignment horizontal="left" wrapText="1"/>
    </xf>
    <xf numFmtId="0" fontId="4" fillId="0" borderId="3" xfId="1" applyFont="1" applyBorder="1"/>
    <xf numFmtId="0" fontId="4" fillId="0" borderId="4" xfId="1" applyFont="1" applyBorder="1"/>
    <xf numFmtId="3" fontId="4" fillId="0" borderId="5" xfId="1" applyNumberFormat="1" applyFont="1" applyBorder="1" applyAlignment="1">
      <alignment horizontal="center"/>
    </xf>
    <xf numFmtId="10" fontId="4" fillId="0" borderId="6" xfId="1" applyNumberFormat="1" applyFont="1" applyBorder="1" applyAlignment="1">
      <alignment horizontal="center"/>
    </xf>
    <xf numFmtId="0" fontId="4" fillId="0" borderId="9" xfId="1" applyFont="1" applyBorder="1"/>
    <xf numFmtId="0" fontId="6" fillId="0" borderId="10" xfId="1" applyFont="1" applyBorder="1" applyAlignment="1">
      <alignment horizontal="center"/>
    </xf>
    <xf numFmtId="3" fontId="4" fillId="0" borderId="10" xfId="1" applyNumberFormat="1" applyFont="1" applyBorder="1" applyAlignment="1">
      <alignment horizontal="center"/>
    </xf>
    <xf numFmtId="2" fontId="6" fillId="0" borderId="10" xfId="1" applyNumberFormat="1" applyFont="1" applyBorder="1" applyAlignment="1">
      <alignment horizontal="center" wrapText="1"/>
    </xf>
    <xf numFmtId="10" fontId="4" fillId="0" borderId="10" xfId="1" applyNumberFormat="1" applyFont="1" applyBorder="1" applyAlignment="1">
      <alignment horizontal="center"/>
    </xf>
    <xf numFmtId="0" fontId="10" fillId="0" borderId="0" xfId="1" applyFont="1"/>
    <xf numFmtId="0" fontId="5" fillId="0" borderId="1" xfId="1" applyFont="1" applyBorder="1" applyAlignment="1">
      <alignment wrapText="1"/>
    </xf>
    <xf numFmtId="0" fontId="5" fillId="0" borderId="13" xfId="1" applyFont="1" applyBorder="1" applyAlignment="1">
      <alignment wrapText="1"/>
    </xf>
    <xf numFmtId="0" fontId="5" fillId="0" borderId="14" xfId="1" applyFont="1" applyBorder="1" applyAlignment="1">
      <alignment wrapText="1"/>
    </xf>
    <xf numFmtId="165" fontId="11" fillId="0" borderId="12" xfId="3" applyNumberFormat="1" applyFont="1" applyBorder="1"/>
    <xf numFmtId="166" fontId="7" fillId="0" borderId="0" xfId="3" applyNumberFormat="1" applyFont="1" applyBorder="1"/>
    <xf numFmtId="0" fontId="7" fillId="0" borderId="0" xfId="1" applyFont="1"/>
    <xf numFmtId="167" fontId="10" fillId="0" borderId="11" xfId="1" applyNumberFormat="1" applyFont="1" applyBorder="1"/>
    <xf numFmtId="3" fontId="4" fillId="0" borderId="17" xfId="1" applyNumberFormat="1" applyFont="1" applyBorder="1" applyAlignment="1">
      <alignment horizontal="center"/>
    </xf>
    <xf numFmtId="10" fontId="4" fillId="0" borderId="18" xfId="1" applyNumberFormat="1" applyFont="1" applyBorder="1" applyAlignment="1">
      <alignment horizontal="center"/>
    </xf>
    <xf numFmtId="3" fontId="4" fillId="0" borderId="19" xfId="1" applyNumberFormat="1" applyFont="1" applyBorder="1" applyAlignment="1">
      <alignment horizontal="center"/>
    </xf>
    <xf numFmtId="3" fontId="4" fillId="0" borderId="20" xfId="1" applyNumberFormat="1" applyFont="1" applyBorder="1" applyAlignment="1">
      <alignment horizontal="center"/>
    </xf>
    <xf numFmtId="3" fontId="7" fillId="0" borderId="0" xfId="1" applyNumberFormat="1" applyFont="1"/>
    <xf numFmtId="0" fontId="6" fillId="0" borderId="5" xfId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0" fontId="6" fillId="0" borderId="3" xfId="1" applyFont="1" applyBorder="1" applyAlignment="1">
      <alignment horizontal="left"/>
    </xf>
    <xf numFmtId="0" fontId="6" fillId="0" borderId="5" xfId="1" applyFont="1" applyBorder="1" applyAlignment="1">
      <alignment horizontal="left"/>
    </xf>
    <xf numFmtId="0" fontId="6" fillId="0" borderId="7" xfId="1" applyFont="1" applyBorder="1" applyAlignment="1">
      <alignment horizontal="left"/>
    </xf>
    <xf numFmtId="3" fontId="6" fillId="0" borderId="0" xfId="1" applyNumberFormat="1" applyFont="1" applyAlignment="1">
      <alignment horizontal="left"/>
    </xf>
    <xf numFmtId="165" fontId="12" fillId="0" borderId="12" xfId="3" applyNumberFormat="1" applyFont="1" applyBorder="1"/>
    <xf numFmtId="3" fontId="7" fillId="0" borderId="0" xfId="1" applyNumberFormat="1" applyFont="1" applyAlignment="1">
      <alignment horizontal="left"/>
    </xf>
    <xf numFmtId="3" fontId="6" fillId="0" borderId="21" xfId="1" applyNumberFormat="1" applyFont="1" applyBorder="1" applyAlignment="1">
      <alignment horizontal="center"/>
    </xf>
    <xf numFmtId="10" fontId="6" fillId="0" borderId="21" xfId="1" applyNumberFormat="1" applyFont="1" applyBorder="1" applyAlignment="1">
      <alignment horizontal="center"/>
    </xf>
    <xf numFmtId="10" fontId="6" fillId="0" borderId="4" xfId="1" applyNumberFormat="1" applyFont="1" applyBorder="1" applyAlignment="1">
      <alignment horizontal="center"/>
    </xf>
    <xf numFmtId="0" fontId="6" fillId="0" borderId="23" xfId="1" applyFont="1" applyBorder="1" applyAlignment="1">
      <alignment horizontal="left"/>
    </xf>
    <xf numFmtId="3" fontId="6" fillId="0" borderId="24" xfId="1" applyNumberFormat="1" applyFont="1" applyBorder="1" applyAlignment="1">
      <alignment horizontal="center"/>
    </xf>
    <xf numFmtId="10" fontId="6" fillId="0" borderId="24" xfId="1" applyNumberFormat="1" applyFont="1" applyBorder="1" applyAlignment="1">
      <alignment horizontal="center"/>
    </xf>
    <xf numFmtId="10" fontId="6" fillId="0" borderId="25" xfId="1" applyNumberFormat="1" applyFont="1" applyBorder="1" applyAlignment="1">
      <alignment horizontal="center"/>
    </xf>
    <xf numFmtId="0" fontId="14" fillId="0" borderId="9" xfId="1" applyFont="1" applyBorder="1" applyAlignment="1">
      <alignment horizontal="center" wrapText="1"/>
    </xf>
    <xf numFmtId="44" fontId="4" fillId="0" borderId="0" xfId="5" applyFont="1"/>
    <xf numFmtId="165" fontId="12" fillId="0" borderId="10" xfId="3" applyNumberFormat="1" applyFont="1" applyBorder="1"/>
    <xf numFmtId="167" fontId="10" fillId="0" borderId="22" xfId="1" applyNumberFormat="1" applyFont="1" applyBorder="1"/>
    <xf numFmtId="0" fontId="16" fillId="0" borderId="0" xfId="0" applyFont="1"/>
    <xf numFmtId="44" fontId="4" fillId="0" borderId="26" xfId="5" applyFont="1" applyBorder="1"/>
    <xf numFmtId="0" fontId="14" fillId="0" borderId="9" xfId="1" applyFont="1" applyBorder="1" applyAlignment="1">
      <alignment horizontal="center"/>
    </xf>
    <xf numFmtId="165" fontId="6" fillId="0" borderId="21" xfId="5" applyNumberFormat="1" applyFont="1" applyBorder="1" applyAlignment="1">
      <alignment horizontal="center"/>
    </xf>
    <xf numFmtId="168" fontId="4" fillId="0" borderId="0" xfId="1" applyNumberFormat="1" applyFont="1"/>
    <xf numFmtId="165" fontId="4" fillId="0" borderId="0" xfId="5" applyNumberFormat="1" applyFont="1"/>
    <xf numFmtId="17" fontId="4" fillId="0" borderId="0" xfId="1" applyNumberFormat="1" applyFont="1" applyAlignment="1">
      <alignment horizontal="center"/>
    </xf>
    <xf numFmtId="17" fontId="6" fillId="0" borderId="10" xfId="1" applyNumberFormat="1" applyFont="1" applyBorder="1" applyAlignment="1">
      <alignment horizontal="center"/>
    </xf>
    <xf numFmtId="0" fontId="4" fillId="0" borderId="27" xfId="1" applyFont="1" applyBorder="1"/>
    <xf numFmtId="165" fontId="17" fillId="0" borderId="12" xfId="3" applyNumberFormat="1" applyFont="1" applyBorder="1"/>
    <xf numFmtId="165" fontId="6" fillId="0" borderId="9" xfId="5" applyNumberFormat="1" applyFont="1" applyBorder="1" applyAlignment="1">
      <alignment horizontal="center"/>
    </xf>
    <xf numFmtId="3" fontId="6" fillId="0" borderId="28" xfId="1" applyNumberFormat="1" applyFont="1" applyBorder="1" applyAlignment="1">
      <alignment horizontal="center"/>
    </xf>
    <xf numFmtId="165" fontId="6" fillId="0" borderId="0" xfId="5" applyNumberFormat="1" applyFont="1" applyBorder="1" applyAlignment="1">
      <alignment horizontal="center"/>
    </xf>
    <xf numFmtId="165" fontId="17" fillId="0" borderId="0" xfId="3" applyNumberFormat="1" applyFont="1" applyBorder="1"/>
    <xf numFmtId="167" fontId="10" fillId="0" borderId="0" xfId="1" applyNumberFormat="1" applyFont="1"/>
    <xf numFmtId="3" fontId="6" fillId="0" borderId="29" xfId="1" applyNumberFormat="1" applyFont="1" applyBorder="1" applyAlignment="1">
      <alignment horizontal="center"/>
    </xf>
    <xf numFmtId="10" fontId="6" fillId="0" borderId="30" xfId="1" applyNumberFormat="1" applyFont="1" applyBorder="1" applyAlignment="1">
      <alignment horizontal="center"/>
    </xf>
    <xf numFmtId="3" fontId="4" fillId="0" borderId="7" xfId="1" applyNumberFormat="1" applyFont="1" applyBorder="1" applyAlignment="1">
      <alignment horizontal="center"/>
    </xf>
    <xf numFmtId="10" fontId="4" fillId="0" borderId="8" xfId="1" applyNumberFormat="1" applyFont="1" applyBorder="1" applyAlignment="1">
      <alignment horizontal="center"/>
    </xf>
    <xf numFmtId="3" fontId="4" fillId="0" borderId="11" xfId="1" applyNumberFormat="1" applyFont="1" applyBorder="1" applyAlignment="1">
      <alignment horizontal="center"/>
    </xf>
    <xf numFmtId="3" fontId="4" fillId="0" borderId="31" xfId="1" applyNumberFormat="1" applyFont="1" applyBorder="1" applyAlignment="1">
      <alignment horizontal="center"/>
    </xf>
    <xf numFmtId="165" fontId="18" fillId="0" borderId="9" xfId="5" applyNumberFormat="1" applyFont="1" applyBorder="1" applyAlignment="1">
      <alignment horizontal="center"/>
    </xf>
    <xf numFmtId="0" fontId="4" fillId="0" borderId="32" xfId="1" applyFont="1" applyBorder="1" applyAlignment="1">
      <alignment horizontal="left"/>
    </xf>
    <xf numFmtId="0" fontId="0" fillId="0" borderId="0" xfId="0" applyAlignment="1">
      <alignment horizontal="center"/>
    </xf>
    <xf numFmtId="0" fontId="4" fillId="0" borderId="33" xfId="1" applyFont="1" applyBorder="1" applyAlignment="1">
      <alignment horizontal="left" wrapText="1"/>
    </xf>
    <xf numFmtId="0" fontId="4" fillId="0" borderId="32" xfId="1" applyFont="1" applyBorder="1" applyAlignment="1">
      <alignment horizontal="left" wrapText="1"/>
    </xf>
    <xf numFmtId="0" fontId="4" fillId="0" borderId="34" xfId="1" applyFont="1" applyBorder="1" applyAlignment="1">
      <alignment horizontal="left" wrapText="1"/>
    </xf>
    <xf numFmtId="0" fontId="4" fillId="0" borderId="0" xfId="1" applyFont="1" applyAlignment="1">
      <alignment horizontal="left"/>
    </xf>
    <xf numFmtId="0" fontId="8" fillId="0" borderId="0" xfId="1" applyFont="1" applyAlignment="1">
      <alignment horizontal="left"/>
    </xf>
    <xf numFmtId="3" fontId="0" fillId="0" borderId="0" xfId="0" applyNumberFormat="1" applyAlignment="1">
      <alignment horizontal="center"/>
    </xf>
    <xf numFmtId="0" fontId="0" fillId="0" borderId="24" xfId="0" applyBorder="1"/>
    <xf numFmtId="10" fontId="4" fillId="0" borderId="20" xfId="1" applyNumberFormat="1" applyFon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0" fontId="0" fillId="0" borderId="3" xfId="0" applyBorder="1"/>
    <xf numFmtId="0" fontId="0" fillId="0" borderId="37" xfId="0" applyBorder="1"/>
    <xf numFmtId="0" fontId="0" fillId="0" borderId="38" xfId="0" applyBorder="1"/>
    <xf numFmtId="0" fontId="0" fillId="0" borderId="23" xfId="0" applyBorder="1"/>
    <xf numFmtId="0" fontId="0" fillId="0" borderId="4" xfId="0" applyBorder="1"/>
    <xf numFmtId="0" fontId="0" fillId="0" borderId="25" xfId="0" applyBorder="1"/>
    <xf numFmtId="165" fontId="0" fillId="0" borderId="0" xfId="0" applyNumberFormat="1"/>
    <xf numFmtId="169" fontId="4" fillId="0" borderId="0" xfId="6" applyNumberFormat="1" applyFont="1"/>
    <xf numFmtId="0" fontId="10" fillId="2" borderId="35" xfId="1" applyFont="1" applyFill="1" applyBorder="1"/>
    <xf numFmtId="0" fontId="4" fillId="2" borderId="36" xfId="1" applyFont="1" applyFill="1" applyBorder="1"/>
    <xf numFmtId="3" fontId="0" fillId="0" borderId="26" xfId="0" applyNumberFormat="1" applyBorder="1" applyAlignment="1">
      <alignment horizontal="center"/>
    </xf>
    <xf numFmtId="3" fontId="15" fillId="0" borderId="0" xfId="0" applyNumberFormat="1" applyFont="1" applyAlignment="1">
      <alignment horizontal="center"/>
    </xf>
    <xf numFmtId="0" fontId="4" fillId="3" borderId="1" xfId="1" applyFont="1" applyFill="1" applyBorder="1" applyAlignment="1">
      <alignment horizontal="left"/>
    </xf>
    <xf numFmtId="3" fontId="4" fillId="3" borderId="5" xfId="1" applyNumberFormat="1" applyFont="1" applyFill="1" applyBorder="1" applyAlignment="1">
      <alignment horizontal="center"/>
    </xf>
    <xf numFmtId="10" fontId="4" fillId="3" borderId="6" xfId="1" applyNumberFormat="1" applyFont="1" applyFill="1" applyBorder="1" applyAlignment="1">
      <alignment horizontal="center"/>
    </xf>
    <xf numFmtId="3" fontId="4" fillId="3" borderId="10" xfId="1" applyNumberFormat="1" applyFont="1" applyFill="1" applyBorder="1" applyAlignment="1">
      <alignment horizontal="center"/>
    </xf>
    <xf numFmtId="10" fontId="4" fillId="3" borderId="10" xfId="1" applyNumberFormat="1" applyFont="1" applyFill="1" applyBorder="1" applyAlignment="1">
      <alignment horizontal="center"/>
    </xf>
    <xf numFmtId="165" fontId="15" fillId="0" borderId="26" xfId="0" applyNumberFormat="1" applyFont="1" applyBorder="1"/>
    <xf numFmtId="0" fontId="0" fillId="0" borderId="21" xfId="0" applyBorder="1"/>
    <xf numFmtId="0" fontId="16" fillId="0" borderId="21" xfId="0" applyFont="1" applyBorder="1" applyAlignment="1">
      <alignment horizontal="center"/>
    </xf>
    <xf numFmtId="0" fontId="16" fillId="0" borderId="0" xfId="0" applyFont="1" applyAlignment="1">
      <alignment horizontal="center"/>
    </xf>
    <xf numFmtId="44" fontId="0" fillId="0" borderId="0" xfId="5" applyFont="1" applyBorder="1"/>
    <xf numFmtId="44" fontId="0" fillId="0" borderId="0" xfId="5" applyFont="1" applyBorder="1" applyAlignment="1">
      <alignment horizontal="center"/>
    </xf>
    <xf numFmtId="165" fontId="0" fillId="0" borderId="0" xfId="5" applyNumberFormat="1" applyFont="1" applyBorder="1" applyAlignment="1">
      <alignment horizontal="center"/>
    </xf>
    <xf numFmtId="0" fontId="8" fillId="0" borderId="0" xfId="0" applyFont="1" applyAlignment="1">
      <alignment wrapText="1"/>
    </xf>
    <xf numFmtId="44" fontId="0" fillId="0" borderId="0" xfId="0" applyNumberFormat="1"/>
    <xf numFmtId="44" fontId="0" fillId="0" borderId="21" xfId="0" applyNumberFormat="1" applyBorder="1"/>
    <xf numFmtId="3" fontId="4" fillId="0" borderId="0" xfId="1" applyNumberFormat="1" applyFont="1"/>
    <xf numFmtId="0" fontId="0" fillId="0" borderId="26" xfId="0" applyBorder="1"/>
    <xf numFmtId="44" fontId="0" fillId="0" borderId="26" xfId="0" applyNumberFormat="1" applyBorder="1"/>
    <xf numFmtId="44" fontId="15" fillId="0" borderId="39" xfId="0" applyNumberFormat="1" applyFont="1" applyBorder="1"/>
    <xf numFmtId="0" fontId="0" fillId="0" borderId="40" xfId="0" applyBorder="1"/>
    <xf numFmtId="0" fontId="0" fillId="0" borderId="20" xfId="0" applyBorder="1"/>
    <xf numFmtId="0" fontId="0" fillId="0" borderId="41" xfId="0" applyBorder="1"/>
    <xf numFmtId="0" fontId="0" fillId="0" borderId="2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8" fillId="0" borderId="0" xfId="0" applyFont="1"/>
    <xf numFmtId="170" fontId="20" fillId="0" borderId="0" xfId="0" applyNumberFormat="1" applyFont="1" applyAlignment="1">
      <alignment horizontal="center"/>
    </xf>
    <xf numFmtId="170" fontId="21" fillId="0" borderId="0" xfId="0" applyNumberFormat="1" applyFont="1"/>
    <xf numFmtId="170" fontId="21" fillId="0" borderId="0" xfId="0" applyNumberFormat="1" applyFont="1" applyAlignment="1">
      <alignment horizontal="center"/>
    </xf>
    <xf numFmtId="170" fontId="20" fillId="0" borderId="0" xfId="0" applyNumberFormat="1" applyFont="1"/>
    <xf numFmtId="0" fontId="21" fillId="0" borderId="0" xfId="0" applyFont="1"/>
    <xf numFmtId="171" fontId="21" fillId="0" borderId="0" xfId="0" applyNumberFormat="1" applyFont="1"/>
    <xf numFmtId="172" fontId="22" fillId="0" borderId="0" xfId="0" applyNumberFormat="1" applyFont="1"/>
    <xf numFmtId="43" fontId="21" fillId="0" borderId="0" xfId="0" applyNumberFormat="1" applyFont="1"/>
    <xf numFmtId="175" fontId="21" fillId="0" borderId="0" xfId="0" applyNumberFormat="1" applyFont="1"/>
    <xf numFmtId="44" fontId="8" fillId="0" borderId="0" xfId="0" applyNumberFormat="1" applyFont="1"/>
    <xf numFmtId="0" fontId="26" fillId="0" borderId="0" xfId="0" applyFont="1" applyAlignment="1">
      <alignment vertical="center"/>
    </xf>
    <xf numFmtId="0" fontId="27" fillId="0" borderId="50" xfId="0" applyFont="1" applyBorder="1"/>
    <xf numFmtId="0" fontId="29" fillId="4" borderId="46" xfId="0" applyFont="1" applyFill="1" applyBorder="1" applyAlignment="1">
      <alignment horizontal="center" vertical="center" wrapText="1"/>
    </xf>
    <xf numFmtId="0" fontId="29" fillId="4" borderId="47" xfId="0" applyFont="1" applyFill="1" applyBorder="1" applyAlignment="1">
      <alignment horizontal="center" vertical="center" wrapText="1"/>
    </xf>
    <xf numFmtId="0" fontId="29" fillId="4" borderId="48" xfId="0" applyFont="1" applyFill="1" applyBorder="1" applyAlignment="1">
      <alignment horizontal="center" vertical="center" wrapText="1"/>
    </xf>
    <xf numFmtId="170" fontId="29" fillId="4" borderId="7" xfId="7" applyNumberFormat="1" applyFont="1" applyFill="1" applyBorder="1" applyAlignment="1"/>
    <xf numFmtId="170" fontId="29" fillId="4" borderId="49" xfId="7" applyNumberFormat="1" applyFont="1" applyFill="1" applyBorder="1" applyAlignment="1"/>
    <xf numFmtId="9" fontId="29" fillId="4" borderId="49" xfId="6" applyFont="1" applyFill="1" applyBorder="1" applyAlignment="1"/>
    <xf numFmtId="9" fontId="29" fillId="4" borderId="8" xfId="6" applyFont="1" applyFill="1" applyBorder="1" applyAlignment="1">
      <alignment vertical="center" wrapText="1"/>
    </xf>
    <xf numFmtId="169" fontId="21" fillId="0" borderId="0" xfId="6" applyNumberFormat="1" applyFont="1" applyFill="1" applyBorder="1"/>
    <xf numFmtId="164" fontId="21" fillId="0" borderId="0" xfId="7" applyFont="1"/>
    <xf numFmtId="0" fontId="29" fillId="4" borderId="48" xfId="0" applyFont="1" applyFill="1" applyBorder="1" applyAlignment="1">
      <alignment vertical="top" wrapText="1"/>
    </xf>
    <xf numFmtId="0" fontId="28" fillId="4" borderId="46" xfId="0" applyFont="1" applyFill="1" applyBorder="1" applyAlignment="1">
      <alignment vertical="top" wrapText="1"/>
    </xf>
    <xf numFmtId="171" fontId="29" fillId="4" borderId="47" xfId="0" applyNumberFormat="1" applyFont="1" applyFill="1" applyBorder="1" applyAlignment="1">
      <alignment vertical="top" wrapText="1"/>
    </xf>
    <xf numFmtId="0" fontId="29" fillId="4" borderId="47" xfId="0" applyFont="1" applyFill="1" applyBorder="1" applyAlignment="1">
      <alignment vertical="top" wrapText="1"/>
    </xf>
    <xf numFmtId="170" fontId="8" fillId="0" borderId="0" xfId="0" applyNumberFormat="1" applyFont="1"/>
    <xf numFmtId="178" fontId="21" fillId="0" borderId="0" xfId="0" applyNumberFormat="1" applyFont="1"/>
    <xf numFmtId="0" fontId="19" fillId="0" borderId="0" xfId="0" applyFont="1"/>
    <xf numFmtId="173" fontId="21" fillId="0" borderId="0" xfId="6" applyNumberFormat="1" applyFont="1" applyFill="1" applyBorder="1"/>
    <xf numFmtId="9" fontId="21" fillId="0" borderId="0" xfId="0" applyNumberFormat="1" applyFont="1"/>
    <xf numFmtId="0" fontId="23" fillId="0" borderId="0" xfId="0" applyFont="1" applyAlignment="1">
      <alignment wrapText="1" shrinkToFit="1"/>
    </xf>
    <xf numFmtId="44" fontId="21" fillId="0" borderId="0" xfId="5" applyFont="1" applyFill="1" applyBorder="1"/>
    <xf numFmtId="0" fontId="29" fillId="4" borderId="54" xfId="0" applyFont="1" applyFill="1" applyBorder="1" applyAlignment="1">
      <alignment horizontal="center" vertical="center" wrapText="1"/>
    </xf>
    <xf numFmtId="170" fontId="29" fillId="4" borderId="55" xfId="7" applyNumberFormat="1" applyFont="1" applyFill="1" applyBorder="1" applyAlignment="1"/>
    <xf numFmtId="0" fontId="29" fillId="4" borderId="12" xfId="0" applyFont="1" applyFill="1" applyBorder="1" applyAlignment="1">
      <alignment horizontal="center" vertical="center" wrapText="1"/>
    </xf>
    <xf numFmtId="0" fontId="29" fillId="4" borderId="11" xfId="0" applyFont="1" applyFill="1" applyBorder="1" applyAlignment="1">
      <alignment horizontal="left"/>
    </xf>
    <xf numFmtId="176" fontId="21" fillId="0" borderId="0" xfId="5" applyNumberFormat="1" applyFont="1" applyBorder="1"/>
    <xf numFmtId="179" fontId="8" fillId="0" borderId="0" xfId="0" applyNumberFormat="1" applyFont="1"/>
    <xf numFmtId="0" fontId="30" fillId="0" borderId="10" xfId="1" applyFont="1" applyBorder="1" applyAlignment="1">
      <alignment horizontal="left"/>
    </xf>
    <xf numFmtId="0" fontId="20" fillId="0" borderId="10" xfId="0" applyFont="1" applyBorder="1"/>
    <xf numFmtId="0" fontId="30" fillId="0" borderId="10" xfId="1" applyFont="1" applyBorder="1"/>
    <xf numFmtId="0" fontId="34" fillId="0" borderId="3" xfId="0" applyFont="1" applyBorder="1"/>
    <xf numFmtId="0" fontId="34" fillId="0" borderId="37" xfId="0" applyFont="1" applyBorder="1"/>
    <xf numFmtId="0" fontId="34" fillId="0" borderId="23" xfId="0" applyFont="1" applyBorder="1"/>
    <xf numFmtId="0" fontId="8" fillId="6" borderId="0" xfId="0" applyFont="1" applyFill="1"/>
    <xf numFmtId="0" fontId="21" fillId="0" borderId="3" xfId="0" applyFont="1" applyBorder="1"/>
    <xf numFmtId="173" fontId="21" fillId="0" borderId="21" xfId="6" applyNumberFormat="1" applyFont="1" applyFill="1" applyBorder="1"/>
    <xf numFmtId="9" fontId="21" fillId="0" borderId="21" xfId="0" applyNumberFormat="1" applyFont="1" applyBorder="1"/>
    <xf numFmtId="0" fontId="21" fillId="0" borderId="21" xfId="0" applyFont="1" applyBorder="1"/>
    <xf numFmtId="0" fontId="21" fillId="0" borderId="23" xfId="0" applyFont="1" applyBorder="1"/>
    <xf numFmtId="173" fontId="21" fillId="0" borderId="24" xfId="6" applyNumberFormat="1" applyFont="1" applyFill="1" applyBorder="1"/>
    <xf numFmtId="9" fontId="21" fillId="0" borderId="24" xfId="0" applyNumberFormat="1" applyFont="1" applyBorder="1"/>
    <xf numFmtId="0" fontId="23" fillId="0" borderId="24" xfId="0" applyFont="1" applyBorder="1" applyAlignment="1">
      <alignment wrapText="1" shrinkToFit="1"/>
    </xf>
    <xf numFmtId="0" fontId="8" fillId="8" borderId="0" xfId="0" applyFont="1" applyFill="1"/>
    <xf numFmtId="0" fontId="0" fillId="8" borderId="0" xfId="0" applyFill="1"/>
    <xf numFmtId="0" fontId="15" fillId="8" borderId="35" xfId="0" applyFont="1" applyFill="1" applyBorder="1"/>
    <xf numFmtId="0" fontId="0" fillId="8" borderId="45" xfId="0" applyFill="1" applyBorder="1"/>
    <xf numFmtId="0" fontId="8" fillId="8" borderId="45" xfId="0" applyFont="1" applyFill="1" applyBorder="1"/>
    <xf numFmtId="0" fontId="15" fillId="8" borderId="0" xfId="0" applyFont="1" applyFill="1"/>
    <xf numFmtId="0" fontId="0" fillId="8" borderId="36" xfId="0" applyFill="1" applyBorder="1"/>
    <xf numFmtId="0" fontId="32" fillId="8" borderId="45" xfId="0" applyFont="1" applyFill="1" applyBorder="1"/>
    <xf numFmtId="0" fontId="8" fillId="8" borderId="0" xfId="0" applyFont="1" applyFill="1" applyAlignment="1">
      <alignment horizontal="center"/>
    </xf>
    <xf numFmtId="0" fontId="38" fillId="8" borderId="0" xfId="0" applyFont="1" applyFill="1" applyAlignment="1">
      <alignment horizontal="right"/>
    </xf>
    <xf numFmtId="170" fontId="37" fillId="8" borderId="0" xfId="7" applyNumberFormat="1" applyFont="1" applyFill="1" applyBorder="1" applyAlignment="1">
      <alignment horizontal="center"/>
    </xf>
    <xf numFmtId="0" fontId="8" fillId="8" borderId="0" xfId="0" applyFont="1" applyFill="1" applyAlignment="1">
      <alignment horizontal="center" vertical="center"/>
    </xf>
    <xf numFmtId="165" fontId="0" fillId="8" borderId="0" xfId="5" applyNumberFormat="1" applyFont="1" applyFill="1" applyBorder="1"/>
    <xf numFmtId="9" fontId="0" fillId="8" borderId="0" xfId="6" applyFont="1" applyFill="1" applyBorder="1" applyAlignment="1">
      <alignment horizontal="center"/>
    </xf>
    <xf numFmtId="165" fontId="0" fillId="8" borderId="0" xfId="5" applyNumberFormat="1" applyFont="1" applyFill="1" applyBorder="1" applyAlignment="1">
      <alignment horizontal="center"/>
    </xf>
    <xf numFmtId="0" fontId="8" fillId="9" borderId="0" xfId="0" applyFont="1" applyFill="1"/>
    <xf numFmtId="0" fontId="33" fillId="8" borderId="0" xfId="0" applyFont="1" applyFill="1"/>
    <xf numFmtId="0" fontId="32" fillId="8" borderId="0" xfId="0" applyFont="1" applyFill="1"/>
    <xf numFmtId="180" fontId="32" fillId="8" borderId="0" xfId="0" applyNumberFormat="1" applyFont="1" applyFill="1" applyAlignment="1">
      <alignment horizontal="center"/>
    </xf>
    <xf numFmtId="0" fontId="39" fillId="10" borderId="0" xfId="0" applyFont="1" applyFill="1" applyAlignment="1">
      <alignment horizontal="right"/>
    </xf>
    <xf numFmtId="0" fontId="40" fillId="8" borderId="0" xfId="0" applyFont="1" applyFill="1"/>
    <xf numFmtId="0" fontId="41" fillId="8" borderId="0" xfId="0" applyFont="1" applyFill="1" applyAlignment="1">
      <alignment horizontal="right" vertical="center"/>
    </xf>
    <xf numFmtId="173" fontId="21" fillId="0" borderId="22" xfId="6" applyNumberFormat="1" applyFont="1" applyFill="1" applyBorder="1"/>
    <xf numFmtId="170" fontId="19" fillId="0" borderId="53" xfId="7" applyNumberFormat="1" applyFont="1" applyBorder="1" applyAlignment="1" applyProtection="1">
      <protection hidden="1"/>
    </xf>
    <xf numFmtId="3" fontId="19" fillId="0" borderId="1" xfId="1" applyNumberFormat="1" applyFont="1" applyBorder="1" applyProtection="1">
      <protection hidden="1"/>
    </xf>
    <xf numFmtId="44" fontId="21" fillId="0" borderId="4" xfId="5" applyFont="1" applyBorder="1" applyProtection="1">
      <protection hidden="1"/>
    </xf>
    <xf numFmtId="44" fontId="21" fillId="0" borderId="25" xfId="5" applyFont="1" applyBorder="1" applyProtection="1">
      <protection hidden="1"/>
    </xf>
    <xf numFmtId="174" fontId="21" fillId="0" borderId="4" xfId="0" applyNumberFormat="1" applyFont="1" applyBorder="1" applyProtection="1">
      <protection hidden="1"/>
    </xf>
    <xf numFmtId="165" fontId="21" fillId="0" borderId="38" xfId="5" applyNumberFormat="1" applyFont="1" applyBorder="1" applyProtection="1">
      <protection hidden="1"/>
    </xf>
    <xf numFmtId="10" fontId="21" fillId="0" borderId="38" xfId="6" applyNumberFormat="1" applyFont="1" applyBorder="1" applyProtection="1">
      <protection hidden="1"/>
    </xf>
    <xf numFmtId="176" fontId="21" fillId="0" borderId="25" xfId="5" applyNumberFormat="1" applyFont="1" applyBorder="1" applyProtection="1">
      <protection hidden="1"/>
    </xf>
    <xf numFmtId="170" fontId="0" fillId="9" borderId="35" xfId="7" applyNumberFormat="1" applyFont="1" applyFill="1" applyBorder="1" applyAlignment="1" applyProtection="1">
      <protection locked="0"/>
    </xf>
    <xf numFmtId="165" fontId="0" fillId="9" borderId="35" xfId="5" applyNumberFormat="1" applyFont="1" applyFill="1" applyBorder="1" applyProtection="1">
      <protection locked="0"/>
    </xf>
    <xf numFmtId="9" fontId="0" fillId="9" borderId="22" xfId="6" applyFont="1" applyFill="1" applyBorder="1" applyAlignment="1" applyProtection="1">
      <alignment horizontal="center"/>
      <protection locked="0"/>
    </xf>
    <xf numFmtId="3" fontId="19" fillId="0" borderId="5" xfId="1" applyNumberFormat="1" applyFont="1" applyBorder="1" applyProtection="1">
      <protection hidden="1"/>
    </xf>
    <xf numFmtId="170" fontId="21" fillId="0" borderId="1" xfId="0" applyNumberFormat="1" applyFont="1" applyBorder="1" applyProtection="1">
      <protection hidden="1"/>
    </xf>
    <xf numFmtId="10" fontId="21" fillId="0" borderId="1" xfId="6" applyNumberFormat="1" applyFont="1" applyFill="1" applyBorder="1" applyAlignment="1" applyProtection="1">
      <alignment vertical="center" wrapText="1"/>
      <protection hidden="1"/>
    </xf>
    <xf numFmtId="170" fontId="21" fillId="0" borderId="1" xfId="7" applyNumberFormat="1" applyFont="1" applyFill="1" applyBorder="1" applyAlignment="1" applyProtection="1">
      <alignment vertical="center" wrapText="1"/>
      <protection hidden="1"/>
    </xf>
    <xf numFmtId="10" fontId="21" fillId="0" borderId="6" xfId="6" applyNumberFormat="1" applyFont="1" applyFill="1" applyBorder="1" applyAlignment="1" applyProtection="1">
      <alignment vertical="center" wrapText="1"/>
      <protection hidden="1"/>
    </xf>
    <xf numFmtId="170" fontId="19" fillId="0" borderId="1" xfId="7" applyNumberFormat="1" applyFont="1" applyBorder="1" applyAlignment="1" applyProtection="1">
      <protection hidden="1"/>
    </xf>
    <xf numFmtId="170" fontId="19" fillId="0" borderId="53" xfId="7" applyNumberFormat="1" applyFont="1" applyFill="1" applyBorder="1" applyAlignment="1" applyProtection="1">
      <protection hidden="1"/>
    </xf>
    <xf numFmtId="170" fontId="19" fillId="0" borderId="1" xfId="7" applyNumberFormat="1" applyFont="1" applyFill="1" applyBorder="1" applyAlignment="1" applyProtection="1">
      <protection hidden="1"/>
    </xf>
    <xf numFmtId="170" fontId="21" fillId="0" borderId="53" xfId="7" applyNumberFormat="1" applyFont="1" applyBorder="1" applyAlignment="1" applyProtection="1">
      <protection hidden="1"/>
    </xf>
    <xf numFmtId="170" fontId="21" fillId="0" borderId="1" xfId="7" applyNumberFormat="1" applyFont="1" applyBorder="1" applyAlignment="1" applyProtection="1">
      <protection hidden="1"/>
    </xf>
    <xf numFmtId="10" fontId="0" fillId="9" borderId="22" xfId="6" applyNumberFormat="1" applyFont="1" applyFill="1" applyBorder="1" applyAlignment="1" applyProtection="1">
      <protection locked="0"/>
    </xf>
    <xf numFmtId="177" fontId="35" fillId="0" borderId="0" xfId="0" applyNumberFormat="1" applyFont="1" applyAlignment="1">
      <alignment horizontal="left" vertical="center"/>
    </xf>
    <xf numFmtId="0" fontId="30" fillId="5" borderId="35" xfId="0" applyFont="1" applyFill="1" applyBorder="1" applyAlignment="1">
      <alignment horizontal="center"/>
    </xf>
    <xf numFmtId="0" fontId="30" fillId="5" borderId="45" xfId="0" applyFont="1" applyFill="1" applyBorder="1" applyAlignment="1">
      <alignment horizontal="center"/>
    </xf>
    <xf numFmtId="0" fontId="30" fillId="5" borderId="36" xfId="0" applyFont="1" applyFill="1" applyBorder="1" applyAlignment="1">
      <alignment horizontal="center"/>
    </xf>
    <xf numFmtId="0" fontId="36" fillId="7" borderId="35" xfId="0" applyFont="1" applyFill="1" applyBorder="1" applyAlignment="1">
      <alignment horizontal="center"/>
    </xf>
    <xf numFmtId="0" fontId="36" fillId="7" borderId="45" xfId="0" applyFont="1" applyFill="1" applyBorder="1" applyAlignment="1">
      <alignment horizontal="center"/>
    </xf>
    <xf numFmtId="0" fontId="36" fillId="7" borderId="36" xfId="0" applyFont="1" applyFill="1" applyBorder="1" applyAlignment="1">
      <alignment horizontal="center"/>
    </xf>
    <xf numFmtId="0" fontId="20" fillId="0" borderId="51" xfId="0" applyFont="1" applyBorder="1" applyAlignment="1">
      <alignment horizontal="center"/>
    </xf>
    <xf numFmtId="0" fontId="20" fillId="0" borderId="52" xfId="0" applyFont="1" applyBorder="1" applyAlignment="1">
      <alignment horizontal="center"/>
    </xf>
    <xf numFmtId="170" fontId="0" fillId="9" borderId="35" xfId="7" applyNumberFormat="1" applyFont="1" applyFill="1" applyBorder="1" applyAlignment="1" applyProtection="1">
      <alignment horizontal="center"/>
      <protection locked="0"/>
    </xf>
    <xf numFmtId="170" fontId="0" fillId="9" borderId="36" xfId="7" applyNumberFormat="1" applyFont="1" applyFill="1" applyBorder="1" applyAlignment="1" applyProtection="1">
      <alignment horizontal="center"/>
      <protection locked="0"/>
    </xf>
    <xf numFmtId="180" fontId="0" fillId="9" borderId="35" xfId="0" applyNumberFormat="1" applyFill="1" applyBorder="1" applyAlignment="1" applyProtection="1">
      <alignment horizontal="center"/>
      <protection locked="0"/>
    </xf>
    <xf numFmtId="180" fontId="0" fillId="9" borderId="36" xfId="0" applyNumberFormat="1" applyFill="1" applyBorder="1" applyAlignment="1" applyProtection="1">
      <alignment horizontal="center"/>
      <protection locked="0"/>
    </xf>
    <xf numFmtId="180" fontId="32" fillId="9" borderId="35" xfId="0" applyNumberFormat="1" applyFont="1" applyFill="1" applyBorder="1" applyAlignment="1" applyProtection="1">
      <alignment horizontal="center"/>
      <protection locked="0"/>
    </xf>
    <xf numFmtId="180" fontId="32" fillId="9" borderId="36" xfId="0" applyNumberFormat="1" applyFont="1" applyFill="1" applyBorder="1" applyAlignment="1" applyProtection="1">
      <alignment horizontal="center"/>
      <protection locked="0"/>
    </xf>
    <xf numFmtId="9" fontId="32" fillId="9" borderId="35" xfId="6" applyFont="1" applyFill="1" applyBorder="1" applyAlignment="1" applyProtection="1">
      <alignment horizontal="center"/>
      <protection locked="0"/>
    </xf>
    <xf numFmtId="9" fontId="32" fillId="9" borderId="36" xfId="6" applyFont="1" applyFill="1" applyBorder="1" applyAlignment="1" applyProtection="1">
      <alignment horizontal="center"/>
      <protection locked="0"/>
    </xf>
    <xf numFmtId="165" fontId="0" fillId="9" borderId="35" xfId="5" applyNumberFormat="1" applyFont="1" applyFill="1" applyBorder="1" applyAlignment="1" applyProtection="1">
      <alignment horizontal="center"/>
      <protection locked="0"/>
    </xf>
    <xf numFmtId="165" fontId="0" fillId="9" borderId="36" xfId="5" applyNumberFormat="1" applyFont="1" applyFill="1" applyBorder="1" applyAlignment="1" applyProtection="1">
      <alignment horizontal="center"/>
      <protection locked="0"/>
    </xf>
    <xf numFmtId="170" fontId="0" fillId="0" borderId="35" xfId="7" applyNumberFormat="1" applyFont="1" applyFill="1" applyBorder="1" applyAlignment="1">
      <alignment horizontal="center" vertical="center"/>
    </xf>
    <xf numFmtId="170" fontId="0" fillId="0" borderId="36" xfId="7" applyNumberFormat="1" applyFont="1" applyFill="1" applyBorder="1" applyAlignment="1">
      <alignment horizontal="center" vertical="center"/>
    </xf>
    <xf numFmtId="0" fontId="28" fillId="4" borderId="35" xfId="0" applyFont="1" applyFill="1" applyBorder="1" applyAlignment="1">
      <alignment horizontal="center" vertical="top" wrapText="1"/>
    </xf>
    <xf numFmtId="0" fontId="28" fillId="4" borderId="36" xfId="0" applyFont="1" applyFill="1" applyBorder="1" applyAlignment="1">
      <alignment horizontal="center" vertical="top" wrapText="1"/>
    </xf>
    <xf numFmtId="2" fontId="6" fillId="0" borderId="15" xfId="1" applyNumberFormat="1" applyFont="1" applyBorder="1" applyAlignment="1">
      <alignment horizontal="center" wrapText="1"/>
    </xf>
    <xf numFmtId="2" fontId="6" fillId="0" borderId="16" xfId="1" applyNumberFormat="1" applyFont="1" applyBorder="1" applyAlignment="1">
      <alignment horizontal="center" wrapText="1"/>
    </xf>
    <xf numFmtId="0" fontId="6" fillId="0" borderId="5" xfId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0" fontId="15" fillId="8" borderId="9" xfId="0" applyFont="1" applyFill="1" applyBorder="1" applyAlignment="1">
      <alignment horizontal="center" wrapText="1"/>
    </xf>
    <xf numFmtId="0" fontId="15" fillId="8" borderId="28" xfId="0" applyFont="1" applyFill="1" applyBorder="1" applyAlignment="1">
      <alignment horizontal="center" wrapText="1"/>
    </xf>
    <xf numFmtId="177" fontId="44" fillId="0" borderId="0" xfId="0" applyNumberFormat="1" applyFont="1" applyAlignment="1">
      <alignment horizontal="left" vertical="center"/>
    </xf>
    <xf numFmtId="170" fontId="15" fillId="9" borderId="21" xfId="7" applyNumberFormat="1" applyFont="1" applyFill="1" applyBorder="1" applyAlignment="1">
      <alignment horizontal="center"/>
    </xf>
    <xf numFmtId="0" fontId="47" fillId="8" borderId="4" xfId="0" applyFont="1" applyFill="1" applyBorder="1" applyAlignment="1">
      <alignment horizontal="left" vertical="top" wrapText="1"/>
    </xf>
    <xf numFmtId="0" fontId="47" fillId="8" borderId="23" xfId="0" applyFont="1" applyFill="1" applyBorder="1" applyAlignment="1">
      <alignment horizontal="left" vertical="top" wrapText="1"/>
    </xf>
    <xf numFmtId="0" fontId="47" fillId="8" borderId="25" xfId="0" applyFont="1" applyFill="1" applyBorder="1" applyAlignment="1">
      <alignment horizontal="left" vertical="top" wrapText="1"/>
    </xf>
    <xf numFmtId="0" fontId="46" fillId="8" borderId="35" xfId="0" applyFont="1" applyFill="1" applyBorder="1"/>
    <xf numFmtId="0" fontId="49" fillId="10" borderId="0" xfId="0" applyFont="1" applyFill="1"/>
    <xf numFmtId="0" fontId="49" fillId="8" borderId="0" xfId="0" applyFont="1" applyFill="1"/>
    <xf numFmtId="0" fontId="47" fillId="8" borderId="3" xfId="0" applyFont="1" applyFill="1" applyBorder="1" applyAlignment="1">
      <alignment horizontal="left" vertical="top" wrapText="1"/>
    </xf>
    <xf numFmtId="0" fontId="48" fillId="8" borderId="9" xfId="0" applyFont="1" applyFill="1" applyBorder="1" applyAlignment="1">
      <alignment horizontal="center" wrapText="1"/>
    </xf>
    <xf numFmtId="0" fontId="48" fillId="8" borderId="28" xfId="0" applyFont="1" applyFill="1" applyBorder="1" applyAlignment="1">
      <alignment horizontal="center" wrapText="1"/>
    </xf>
    <xf numFmtId="0" fontId="48" fillId="8" borderId="3" xfId="0" applyFont="1" applyFill="1" applyBorder="1" applyAlignment="1">
      <alignment horizontal="center" vertical="center"/>
    </xf>
    <xf numFmtId="0" fontId="48" fillId="8" borderId="4" xfId="0" applyFont="1" applyFill="1" applyBorder="1" applyAlignment="1">
      <alignment horizontal="center" vertical="center"/>
    </xf>
    <xf numFmtId="0" fontId="48" fillId="8" borderId="23" xfId="0" applyFont="1" applyFill="1" applyBorder="1" applyAlignment="1">
      <alignment horizontal="center" vertical="center"/>
    </xf>
    <xf numFmtId="0" fontId="48" fillId="8" borderId="25" xfId="0" applyFont="1" applyFill="1" applyBorder="1" applyAlignment="1">
      <alignment horizontal="center" vertical="center"/>
    </xf>
    <xf numFmtId="0" fontId="48" fillId="8" borderId="35" xfId="0" applyFont="1" applyFill="1" applyBorder="1"/>
    <xf numFmtId="0" fontId="45" fillId="9" borderId="22" xfId="0" applyFont="1" applyFill="1" applyBorder="1" applyAlignment="1" applyProtection="1">
      <alignment horizontal="center" vertical="center"/>
      <protection locked="0"/>
    </xf>
  </cellXfs>
  <cellStyles count="15">
    <cellStyle name="Comma" xfId="7" builtinId="3"/>
    <cellStyle name="Comma 2" xfId="13" xr:uid="{00000000-0005-0000-0000-000001000000}"/>
    <cellStyle name="Currency" xfId="5" builtinId="4"/>
    <cellStyle name="Currency 3" xfId="3" xr:uid="{00000000-0005-0000-0000-000003000000}"/>
    <cellStyle name="Currency 3 2" xfId="12" xr:uid="{00000000-0005-0000-0000-000004000000}"/>
    <cellStyle name="Followed Hyperlink" xfId="9" builtinId="9" hidden="1"/>
    <cellStyle name="Hyperlink" xfId="8" builtinId="8" hidden="1"/>
    <cellStyle name="Normal" xfId="0" builtinId="0"/>
    <cellStyle name="Normal 2" xfId="14" xr:uid="{00000000-0005-0000-0000-000039000000}"/>
    <cellStyle name="Normal 2 2" xfId="4" xr:uid="{00000000-0005-0000-0000-000008000000}"/>
    <cellStyle name="Normal 4 3" xfId="1" xr:uid="{00000000-0005-0000-0000-000009000000}"/>
    <cellStyle name="Normal 4 3 2" xfId="10" xr:uid="{00000000-0005-0000-0000-00000A000000}"/>
    <cellStyle name="Percent" xfId="6" builtinId="5"/>
    <cellStyle name="Percent 6" xfId="2" xr:uid="{00000000-0005-0000-0000-00000C000000}"/>
    <cellStyle name="Percent 6 2" xfId="11" xr:uid="{00000000-0005-0000-0000-00000D000000}"/>
  </cellStyles>
  <dxfs count="0"/>
  <tableStyles count="0" defaultTableStyle="TableStyleMedium2" defaultPivotStyle="PivotStyleLight16"/>
  <colors>
    <mruColors>
      <color rgb="FF0000FF"/>
      <color rgb="FFFC242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45</xdr:row>
      <xdr:rowOff>28575</xdr:rowOff>
    </xdr:from>
    <xdr:to>
      <xdr:col>3</xdr:col>
      <xdr:colOff>245628</xdr:colOff>
      <xdr:row>45</xdr:row>
      <xdr:rowOff>215668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99755B3-B402-44C6-A980-56187EE6C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101" y="9677400"/>
          <a:ext cx="3474602" cy="1870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C82CF-342F-4D35-BA01-9353E3917D69}">
  <dimension ref="A1:T114"/>
  <sheetViews>
    <sheetView tabSelected="1" topLeftCell="A4" zoomScaleNormal="100" workbookViewId="0">
      <selection activeCell="X21" sqref="X21"/>
    </sheetView>
  </sheetViews>
  <sheetFormatPr defaultColWidth="9.140625" defaultRowHeight="15" x14ac:dyDescent="0.25"/>
  <cols>
    <col min="1" max="1" width="26.140625" style="123" customWidth="1"/>
    <col min="2" max="2" width="13.5703125" style="123" customWidth="1"/>
    <col min="3" max="3" width="9.28515625" style="123" customWidth="1"/>
    <col min="4" max="4" width="12.85546875" style="123" customWidth="1"/>
    <col min="5" max="5" width="9.7109375" style="123" customWidth="1"/>
    <col min="6" max="6" width="9.85546875" style="123" customWidth="1"/>
    <col min="7" max="7" width="11" style="123" customWidth="1"/>
    <col min="8" max="8" width="1.42578125" style="123" customWidth="1"/>
    <col min="9" max="9" width="9.140625" style="123"/>
    <col min="10" max="10" width="11.5703125" style="123" bestFit="1" customWidth="1"/>
    <col min="11" max="11" width="11.85546875" style="123" bestFit="1" customWidth="1"/>
    <col min="12" max="12" width="13.42578125" style="123" customWidth="1"/>
    <col min="13" max="13" width="9.140625" style="123"/>
    <col min="14" max="14" width="7.140625" style="123" customWidth="1"/>
    <col min="15" max="15" width="10.28515625" style="123" bestFit="1" customWidth="1"/>
    <col min="16" max="16" width="7.85546875" style="123" customWidth="1"/>
    <col min="17" max="17" width="1.42578125" style="123" customWidth="1"/>
    <col min="18" max="18" width="8.42578125" style="123" customWidth="1"/>
    <col min="19" max="19" width="9.140625" style="123"/>
    <col min="20" max="20" width="9.85546875" style="123" customWidth="1"/>
    <col min="21" max="21" width="1.42578125" style="123" customWidth="1"/>
    <col min="22" max="16384" width="9.140625" style="123"/>
  </cols>
  <sheetData>
    <row r="1" spans="1:16" x14ac:dyDescent="0.25">
      <c r="A1" s="177"/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</row>
    <row r="2" spans="1:16" ht="20.25" x14ac:dyDescent="0.3">
      <c r="A2" s="186" t="s">
        <v>120</v>
      </c>
      <c r="B2" s="197" t="s">
        <v>133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</row>
    <row r="3" spans="1:16" ht="15.75" thickBot="1" x14ac:dyDescent="0.3">
      <c r="A3" s="177"/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</row>
    <row r="4" spans="1:16" ht="16.5" thickBot="1" x14ac:dyDescent="0.3">
      <c r="A4" s="177"/>
      <c r="B4" s="226" t="s">
        <v>117</v>
      </c>
      <c r="C4" s="227"/>
      <c r="D4" s="227"/>
      <c r="E4" s="228"/>
      <c r="F4" s="267">
        <v>1</v>
      </c>
      <c r="G4" s="177"/>
      <c r="H4" s="177"/>
      <c r="I4" s="177"/>
      <c r="J4" s="177"/>
      <c r="K4" s="177"/>
      <c r="L4" s="177"/>
      <c r="M4" s="177"/>
      <c r="N4" s="177"/>
      <c r="O4" s="177"/>
      <c r="P4" s="177"/>
    </row>
    <row r="5" spans="1:16" ht="15.75" thickBot="1" x14ac:dyDescent="0.3">
      <c r="A5" s="177"/>
      <c r="B5" s="178"/>
      <c r="C5" s="178"/>
      <c r="D5" s="178"/>
      <c r="E5" s="178">
        <v>1</v>
      </c>
      <c r="F5" s="177">
        <v>2</v>
      </c>
      <c r="G5" s="177"/>
      <c r="H5" s="177"/>
      <c r="I5" s="177"/>
      <c r="J5" s="177"/>
      <c r="K5" s="177"/>
      <c r="L5" s="177"/>
      <c r="M5" s="177"/>
      <c r="N5" s="177"/>
      <c r="O5" s="177"/>
      <c r="P5" s="177"/>
    </row>
    <row r="6" spans="1:16" ht="15.75" thickBot="1" x14ac:dyDescent="0.3">
      <c r="A6" s="177"/>
      <c r="B6" s="179" t="s">
        <v>109</v>
      </c>
      <c r="C6" s="180"/>
      <c r="D6" s="181"/>
      <c r="E6" s="208">
        <v>128000</v>
      </c>
      <c r="F6" s="221">
        <v>0.499</v>
      </c>
      <c r="G6" s="177"/>
      <c r="H6" s="177"/>
      <c r="I6" s="177"/>
      <c r="J6" s="177"/>
      <c r="K6" s="177"/>
      <c r="L6" s="177"/>
      <c r="M6" s="177"/>
      <c r="N6" s="177"/>
      <c r="O6" s="177"/>
      <c r="P6" s="177"/>
    </row>
    <row r="7" spans="1:16" ht="15.75" thickBot="1" x14ac:dyDescent="0.3">
      <c r="A7" s="177"/>
      <c r="B7" s="179" t="s">
        <v>110</v>
      </c>
      <c r="C7" s="180"/>
      <c r="D7" s="181"/>
      <c r="E7" s="208"/>
      <c r="F7" s="221">
        <v>0.25</v>
      </c>
      <c r="G7" s="177"/>
      <c r="H7" s="177"/>
      <c r="I7" s="177"/>
      <c r="J7" s="177"/>
      <c r="K7" s="177"/>
      <c r="L7" s="177"/>
      <c r="M7" s="177"/>
      <c r="N7" s="177"/>
      <c r="O7" s="177"/>
      <c r="P7" s="177"/>
    </row>
    <row r="8" spans="1:16" ht="15.75" thickBot="1" x14ac:dyDescent="0.3">
      <c r="A8" s="177"/>
      <c r="B8" s="179" t="s">
        <v>111</v>
      </c>
      <c r="C8" s="180"/>
      <c r="D8" s="181"/>
      <c r="E8" s="208"/>
      <c r="F8" s="221">
        <v>0.15</v>
      </c>
      <c r="G8" s="177"/>
      <c r="H8" s="177"/>
      <c r="I8" s="177"/>
      <c r="J8" s="177"/>
      <c r="K8" s="177"/>
      <c r="L8" s="177"/>
      <c r="M8" s="177"/>
      <c r="N8" s="177"/>
      <c r="O8" s="177"/>
      <c r="P8" s="177"/>
    </row>
    <row r="9" spans="1:16" ht="15.75" thickBot="1" x14ac:dyDescent="0.3">
      <c r="A9" s="177"/>
      <c r="B9" s="179" t="s">
        <v>112</v>
      </c>
      <c r="C9" s="180"/>
      <c r="D9" s="181"/>
      <c r="E9" s="208"/>
      <c r="F9" s="221">
        <v>0.15</v>
      </c>
      <c r="G9" s="177"/>
      <c r="H9" s="177"/>
      <c r="I9" s="177"/>
      <c r="J9" s="177"/>
      <c r="K9" s="177"/>
      <c r="L9" s="177"/>
      <c r="M9" s="177"/>
      <c r="N9" s="177"/>
      <c r="O9" s="177"/>
      <c r="P9" s="177"/>
    </row>
    <row r="10" spans="1:16" ht="15.75" thickBot="1" x14ac:dyDescent="0.3">
      <c r="A10" s="177"/>
      <c r="B10" s="182"/>
      <c r="C10" s="178"/>
      <c r="D10" s="177"/>
      <c r="E10" s="252" t="s">
        <v>118</v>
      </c>
      <c r="F10" s="252"/>
      <c r="G10" s="177"/>
      <c r="H10" s="177"/>
      <c r="I10" s="177"/>
      <c r="J10" s="177"/>
      <c r="K10" s="177"/>
      <c r="L10" s="188"/>
      <c r="M10" s="177"/>
      <c r="N10" s="177"/>
      <c r="O10" s="177"/>
      <c r="P10" s="177"/>
    </row>
    <row r="11" spans="1:16" ht="15.75" thickBot="1" x14ac:dyDescent="0.3">
      <c r="A11" s="177"/>
      <c r="B11" s="182" t="s">
        <v>138</v>
      </c>
      <c r="C11" s="178"/>
      <c r="D11" s="177"/>
      <c r="E11" s="241">
        <f>B75</f>
        <v>128000</v>
      </c>
      <c r="F11" s="242"/>
      <c r="G11" s="177"/>
      <c r="H11" s="177"/>
      <c r="I11" s="177"/>
      <c r="J11" s="177"/>
      <c r="K11" s="177"/>
      <c r="L11" s="188"/>
      <c r="M11" s="177"/>
      <c r="N11" s="177"/>
      <c r="O11" s="177"/>
      <c r="P11" s="177"/>
    </row>
    <row r="12" spans="1:16" ht="21.75" x14ac:dyDescent="0.4">
      <c r="A12" s="196" t="s">
        <v>119</v>
      </c>
      <c r="B12" s="257" t="s">
        <v>129</v>
      </c>
      <c r="C12" s="178"/>
      <c r="D12" s="177"/>
      <c r="E12" s="187"/>
      <c r="F12" s="187"/>
      <c r="G12" s="177"/>
      <c r="H12" s="177"/>
      <c r="I12" s="177"/>
      <c r="J12" s="177"/>
      <c r="K12" s="177"/>
      <c r="L12" s="188"/>
      <c r="M12" s="177"/>
      <c r="N12" s="177"/>
      <c r="O12" s="177"/>
      <c r="P12" s="177"/>
    </row>
    <row r="13" spans="1:16" ht="18" thickBot="1" x14ac:dyDescent="0.45">
      <c r="A13" s="177"/>
      <c r="B13" s="182"/>
      <c r="C13" s="178"/>
      <c r="D13" s="177"/>
      <c r="E13" s="187"/>
      <c r="F13" s="187"/>
      <c r="G13" s="177"/>
      <c r="H13" s="177"/>
      <c r="I13" s="177"/>
      <c r="J13" s="177"/>
      <c r="K13" s="177"/>
      <c r="L13" s="188"/>
      <c r="M13" s="177"/>
      <c r="N13" s="177"/>
      <c r="O13" s="177"/>
      <c r="P13" s="177"/>
    </row>
    <row r="14" spans="1:16" ht="15.75" thickBot="1" x14ac:dyDescent="0.3">
      <c r="A14" s="177"/>
      <c r="B14" s="179" t="s">
        <v>130</v>
      </c>
      <c r="C14" s="180"/>
      <c r="D14" s="181"/>
      <c r="E14" s="231">
        <v>50000</v>
      </c>
      <c r="F14" s="232"/>
      <c r="G14" s="177"/>
      <c r="H14" s="177"/>
      <c r="I14" s="177"/>
      <c r="J14" s="177"/>
      <c r="K14" s="177"/>
      <c r="L14" s="188"/>
      <c r="M14" s="177"/>
      <c r="N14" s="177"/>
      <c r="O14" s="177"/>
      <c r="P14" s="177"/>
    </row>
    <row r="15" spans="1:16" ht="17.25" x14ac:dyDescent="0.4">
      <c r="A15" s="177"/>
      <c r="B15" s="182"/>
      <c r="C15" s="178"/>
      <c r="D15" s="177"/>
      <c r="E15" s="187"/>
      <c r="F15" s="187"/>
      <c r="G15" s="177"/>
      <c r="H15" s="177"/>
      <c r="I15" s="177"/>
      <c r="J15" s="177"/>
      <c r="K15" s="177"/>
      <c r="L15" s="188"/>
      <c r="M15" s="177"/>
      <c r="N15" s="177"/>
      <c r="O15" s="177"/>
      <c r="P15" s="177"/>
    </row>
    <row r="16" spans="1:16" ht="21.75" x14ac:dyDescent="0.4">
      <c r="A16" s="186" t="s">
        <v>121</v>
      </c>
      <c r="B16" s="258" t="s">
        <v>143</v>
      </c>
      <c r="C16" s="178"/>
      <c r="D16" s="177"/>
      <c r="E16" s="187"/>
      <c r="F16" s="187"/>
      <c r="G16" s="177"/>
      <c r="H16" s="177"/>
      <c r="I16" s="177"/>
      <c r="J16" s="177"/>
      <c r="K16" s="177"/>
      <c r="L16" s="188"/>
      <c r="M16" s="177"/>
      <c r="N16" s="177"/>
      <c r="O16" s="177"/>
      <c r="P16" s="177"/>
    </row>
    <row r="17" spans="1:16" ht="15.75" thickBot="1" x14ac:dyDescent="0.3">
      <c r="A17" s="177"/>
      <c r="B17" s="182"/>
      <c r="C17" s="178"/>
      <c r="D17" s="177"/>
      <c r="E17" s="178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</row>
    <row r="18" spans="1:16" ht="15.75" customHeight="1" x14ac:dyDescent="0.25">
      <c r="A18" s="198" t="s">
        <v>132</v>
      </c>
      <c r="B18" s="259" t="s">
        <v>134</v>
      </c>
      <c r="C18" s="253"/>
      <c r="D18" s="249" t="s">
        <v>98</v>
      </c>
      <c r="E18" s="260" t="s">
        <v>101</v>
      </c>
      <c r="F18" s="262" t="s">
        <v>99</v>
      </c>
      <c r="G18" s="263"/>
      <c r="H18" s="177"/>
      <c r="I18" s="177"/>
      <c r="J18" s="177"/>
      <c r="K18" s="177"/>
      <c r="L18" s="177"/>
      <c r="M18" s="177"/>
      <c r="N18" s="177"/>
      <c r="O18" s="177"/>
      <c r="P18" s="177"/>
    </row>
    <row r="19" spans="1:16" ht="20.45" customHeight="1" thickBot="1" x14ac:dyDescent="0.3">
      <c r="A19" s="177"/>
      <c r="B19" s="254"/>
      <c r="C19" s="255"/>
      <c r="D19" s="250"/>
      <c r="E19" s="261"/>
      <c r="F19" s="264"/>
      <c r="G19" s="265"/>
      <c r="H19" s="177"/>
      <c r="I19" s="177"/>
      <c r="J19" s="177"/>
      <c r="K19" s="177"/>
      <c r="L19" s="177"/>
      <c r="M19" s="177"/>
      <c r="N19" s="177"/>
      <c r="O19" s="177"/>
      <c r="P19" s="177"/>
    </row>
    <row r="20" spans="1:16" ht="15.75" thickBot="1" x14ac:dyDescent="0.3">
      <c r="A20" s="177"/>
      <c r="B20" s="179" t="s">
        <v>122</v>
      </c>
      <c r="C20" s="180"/>
      <c r="D20" s="209">
        <v>200000</v>
      </c>
      <c r="E20" s="210">
        <v>0.8</v>
      </c>
      <c r="F20" s="239">
        <v>8000000</v>
      </c>
      <c r="G20" s="240"/>
      <c r="H20" s="177"/>
      <c r="I20" s="177"/>
      <c r="J20" s="177"/>
      <c r="K20" s="177"/>
      <c r="L20" s="177"/>
      <c r="M20" s="177"/>
      <c r="N20" s="177"/>
      <c r="O20" s="177"/>
      <c r="P20" s="177"/>
    </row>
    <row r="21" spans="1:16" ht="15.75" thickBot="1" x14ac:dyDescent="0.3">
      <c r="A21" s="177"/>
      <c r="B21" s="179" t="s">
        <v>125</v>
      </c>
      <c r="C21" s="183"/>
      <c r="D21" s="209"/>
      <c r="E21" s="210">
        <v>0.8</v>
      </c>
      <c r="F21" s="239">
        <v>8000000</v>
      </c>
      <c r="G21" s="240"/>
      <c r="H21" s="177"/>
      <c r="I21" s="177"/>
      <c r="J21" s="177"/>
      <c r="K21" s="177"/>
      <c r="L21" s="177"/>
      <c r="M21" s="177"/>
      <c r="N21" s="177"/>
      <c r="O21" s="177"/>
      <c r="P21" s="177"/>
    </row>
    <row r="22" spans="1:16" x14ac:dyDescent="0.25">
      <c r="A22" s="177"/>
      <c r="B22" s="177"/>
      <c r="C22" s="177"/>
      <c r="D22" s="177"/>
      <c r="E22" s="185"/>
      <c r="F22" s="252" t="s">
        <v>118</v>
      </c>
      <c r="G22" s="252"/>
      <c r="H22" s="177"/>
      <c r="I22" s="177"/>
      <c r="J22" s="177"/>
      <c r="K22" s="177"/>
      <c r="L22" s="177"/>
      <c r="M22" s="177"/>
      <c r="N22" s="177"/>
      <c r="O22" s="177"/>
      <c r="P22" s="177"/>
    </row>
    <row r="23" spans="1:16" ht="18" thickBot="1" x14ac:dyDescent="0.45">
      <c r="A23" s="177"/>
      <c r="B23" s="177"/>
      <c r="C23" s="177"/>
      <c r="D23" s="177"/>
      <c r="E23" s="185"/>
      <c r="F23" s="187"/>
      <c r="G23" s="187"/>
      <c r="H23" s="177"/>
      <c r="I23" s="177"/>
      <c r="J23" s="177"/>
      <c r="K23" s="177"/>
      <c r="L23" s="177"/>
      <c r="M23" s="177"/>
      <c r="N23" s="177"/>
      <c r="O23" s="177"/>
      <c r="P23" s="177"/>
    </row>
    <row r="24" spans="1:16" ht="15.75" customHeight="1" x14ac:dyDescent="0.25">
      <c r="A24" s="198" t="s">
        <v>131</v>
      </c>
      <c r="B24" s="259" t="s">
        <v>135</v>
      </c>
      <c r="C24" s="253"/>
      <c r="D24" s="249" t="s">
        <v>98</v>
      </c>
      <c r="E24" s="260" t="s">
        <v>101</v>
      </c>
      <c r="F24" s="262" t="s">
        <v>99</v>
      </c>
      <c r="G24" s="263"/>
      <c r="H24" s="177"/>
      <c r="I24" s="177"/>
      <c r="J24" s="177"/>
      <c r="K24" s="177"/>
      <c r="L24" s="177"/>
      <c r="M24" s="177"/>
      <c r="N24" s="177"/>
      <c r="O24" s="177"/>
      <c r="P24" s="177"/>
    </row>
    <row r="25" spans="1:16" ht="20.45" customHeight="1" thickBot="1" x14ac:dyDescent="0.3">
      <c r="A25" s="177"/>
      <c r="B25" s="254"/>
      <c r="C25" s="255"/>
      <c r="D25" s="250"/>
      <c r="E25" s="261"/>
      <c r="F25" s="264"/>
      <c r="G25" s="265"/>
      <c r="H25" s="177"/>
      <c r="I25" s="177"/>
      <c r="J25" s="177"/>
      <c r="K25" s="177"/>
      <c r="L25" s="177"/>
      <c r="M25" s="177"/>
      <c r="N25" s="177"/>
      <c r="O25" s="177"/>
      <c r="P25" s="177"/>
    </row>
    <row r="26" spans="1:16" ht="15.75" thickBot="1" x14ac:dyDescent="0.3">
      <c r="A26" s="177"/>
      <c r="B26" s="179" t="s">
        <v>123</v>
      </c>
      <c r="C26" s="180"/>
      <c r="D26" s="209">
        <v>3950000</v>
      </c>
      <c r="E26" s="210">
        <v>0.8</v>
      </c>
      <c r="F26" s="239">
        <v>42000000</v>
      </c>
      <c r="G26" s="240"/>
      <c r="H26" s="177"/>
      <c r="I26" s="177"/>
      <c r="J26" s="177"/>
      <c r="K26" s="177"/>
      <c r="L26" s="177"/>
      <c r="M26" s="177"/>
      <c r="N26" s="177"/>
      <c r="O26" s="177"/>
      <c r="P26" s="177"/>
    </row>
    <row r="27" spans="1:16" ht="15.75" thickBot="1" x14ac:dyDescent="0.3">
      <c r="A27" s="177"/>
      <c r="B27" s="179" t="s">
        <v>124</v>
      </c>
      <c r="C27" s="183"/>
      <c r="D27" s="209">
        <v>0</v>
      </c>
      <c r="E27" s="210">
        <v>0.8</v>
      </c>
      <c r="F27" s="239">
        <v>8000000</v>
      </c>
      <c r="G27" s="240"/>
      <c r="H27" s="177"/>
      <c r="I27" s="177"/>
      <c r="J27" s="177"/>
      <c r="K27" s="177"/>
      <c r="L27" s="177"/>
      <c r="M27" s="177"/>
      <c r="N27" s="177"/>
      <c r="O27" s="177"/>
      <c r="P27" s="177"/>
    </row>
    <row r="28" spans="1:16" x14ac:dyDescent="0.25">
      <c r="A28" s="177"/>
      <c r="B28" s="182"/>
      <c r="C28" s="178"/>
      <c r="D28" s="189"/>
      <c r="E28" s="190"/>
      <c r="F28" s="252" t="s">
        <v>118</v>
      </c>
      <c r="G28" s="252"/>
      <c r="H28" s="177"/>
      <c r="I28" s="177"/>
      <c r="J28" s="177"/>
      <c r="K28" s="177"/>
      <c r="L28" s="177"/>
      <c r="M28" s="177"/>
      <c r="N28" s="177"/>
      <c r="O28" s="177"/>
      <c r="P28" s="177"/>
    </row>
    <row r="29" spans="1:16" ht="20.25" x14ac:dyDescent="0.3">
      <c r="A29" s="186" t="s">
        <v>128</v>
      </c>
      <c r="B29" s="197" t="s">
        <v>142</v>
      </c>
      <c r="C29" s="177"/>
      <c r="D29" s="177"/>
      <c r="E29" s="177"/>
      <c r="F29" s="191"/>
      <c r="G29" s="191"/>
      <c r="H29" s="177"/>
      <c r="I29" s="177"/>
      <c r="J29" s="177"/>
      <c r="K29" s="177"/>
      <c r="L29" s="177"/>
      <c r="M29" s="177"/>
      <c r="N29" s="177"/>
      <c r="O29" s="177"/>
      <c r="P29" s="177"/>
    </row>
    <row r="30" spans="1:16" ht="15.75" customHeight="1" thickBot="1" x14ac:dyDescent="0.3">
      <c r="A30" s="177"/>
      <c r="B30" s="177"/>
      <c r="C30" s="177"/>
      <c r="D30" s="177"/>
      <c r="E30" s="177"/>
      <c r="F30" s="177"/>
      <c r="G30" s="177"/>
      <c r="H30" s="177"/>
      <c r="I30" s="177"/>
      <c r="J30" s="177"/>
      <c r="K30" s="177"/>
      <c r="L30" s="177"/>
      <c r="M30" s="177"/>
      <c r="N30" s="177"/>
      <c r="O30" s="177"/>
      <c r="P30" s="177"/>
    </row>
    <row r="31" spans="1:16" ht="15.75" thickBot="1" x14ac:dyDescent="0.3">
      <c r="A31" s="177"/>
      <c r="B31" s="266" t="s">
        <v>136</v>
      </c>
      <c r="C31" s="184"/>
      <c r="D31" s="181"/>
      <c r="E31" s="235">
        <v>0</v>
      </c>
      <c r="F31" s="236"/>
      <c r="G31" s="177"/>
      <c r="H31" s="177"/>
      <c r="I31" s="177"/>
      <c r="J31" s="177"/>
      <c r="K31" s="177"/>
      <c r="L31" s="177"/>
      <c r="M31" s="177"/>
      <c r="N31" s="177"/>
      <c r="O31" s="177"/>
      <c r="P31" s="177"/>
    </row>
    <row r="32" spans="1:16" ht="15.75" thickBot="1" x14ac:dyDescent="0.3">
      <c r="A32" s="177"/>
      <c r="B32" s="193"/>
      <c r="C32" s="194"/>
      <c r="D32" s="177"/>
      <c r="E32" s="195"/>
      <c r="F32" s="195"/>
      <c r="G32" s="177"/>
      <c r="H32" s="177"/>
      <c r="I32" s="177"/>
      <c r="J32" s="177"/>
      <c r="K32" s="177"/>
      <c r="L32" s="177"/>
      <c r="M32" s="177"/>
      <c r="N32" s="177"/>
      <c r="O32" s="177"/>
      <c r="P32" s="177"/>
    </row>
    <row r="33" spans="1:17" ht="15.75" thickBot="1" x14ac:dyDescent="0.3">
      <c r="A33" s="177"/>
      <c r="B33" s="179" t="s">
        <v>127</v>
      </c>
      <c r="C33" s="180"/>
      <c r="D33" s="181"/>
      <c r="E33" s="233">
        <v>0</v>
      </c>
      <c r="F33" s="234"/>
      <c r="G33" s="177"/>
      <c r="H33" s="177"/>
      <c r="I33" s="177"/>
      <c r="J33" s="177"/>
      <c r="K33" s="177"/>
      <c r="L33" s="177"/>
      <c r="M33" s="177"/>
      <c r="N33" s="177"/>
      <c r="O33" s="177"/>
      <c r="P33" s="177"/>
    </row>
    <row r="34" spans="1:17" ht="15.75" thickBot="1" x14ac:dyDescent="0.3">
      <c r="A34" s="177"/>
      <c r="B34" s="182"/>
      <c r="C34" s="178"/>
      <c r="D34" s="177"/>
      <c r="E34" s="178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</row>
    <row r="35" spans="1:17" ht="15.75" thickBot="1" x14ac:dyDescent="0.3">
      <c r="A35" s="177"/>
      <c r="B35" s="256" t="s">
        <v>145</v>
      </c>
      <c r="C35" s="184"/>
      <c r="D35" s="181"/>
      <c r="E35" s="237">
        <v>0</v>
      </c>
      <c r="F35" s="238"/>
      <c r="G35" s="177"/>
      <c r="H35" s="177"/>
      <c r="I35" s="177"/>
      <c r="J35" s="177"/>
      <c r="K35" s="177"/>
      <c r="L35" s="177"/>
      <c r="M35" s="177"/>
      <c r="N35" s="177"/>
      <c r="O35" s="177"/>
      <c r="P35" s="177"/>
    </row>
    <row r="36" spans="1:17" x14ac:dyDescent="0.25">
      <c r="A36" s="177"/>
      <c r="B36" s="177"/>
      <c r="C36" s="177"/>
      <c r="D36" s="177"/>
      <c r="E36" s="177"/>
      <c r="F36" s="177"/>
      <c r="G36" s="177"/>
      <c r="H36" s="177"/>
      <c r="I36" s="177"/>
      <c r="J36" s="177"/>
      <c r="K36" s="177"/>
      <c r="L36" s="177"/>
      <c r="M36" s="177"/>
      <c r="N36" s="177"/>
      <c r="O36" s="177"/>
      <c r="P36" s="177"/>
    </row>
    <row r="37" spans="1:17" x14ac:dyDescent="0.25">
      <c r="A37" s="177"/>
      <c r="B37" s="177"/>
      <c r="C37" s="177"/>
      <c r="D37" s="177"/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7"/>
      <c r="P37" s="177"/>
    </row>
    <row r="38" spans="1:17" x14ac:dyDescent="0.25">
      <c r="A38" s="177"/>
      <c r="B38" s="177"/>
      <c r="C38" s="177"/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</row>
    <row r="39" spans="1:17" x14ac:dyDescent="0.25">
      <c r="A39" s="177"/>
      <c r="B39" s="177"/>
      <c r="C39" s="177"/>
      <c r="D39" s="177"/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</row>
    <row r="42" spans="1:17" s="192" customFormat="1" ht="21" x14ac:dyDescent="0.25">
      <c r="A42" s="222"/>
      <c r="B42" s="123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</row>
    <row r="43" spans="1:17" s="192" customFormat="1" ht="21" x14ac:dyDescent="0.25">
      <c r="A43" s="222"/>
      <c r="B43" s="123"/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</row>
    <row r="44" spans="1:17" s="192" customFormat="1" ht="21" x14ac:dyDescent="0.25">
      <c r="A44" s="222"/>
      <c r="B44" s="123"/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</row>
    <row r="45" spans="1:17" s="192" customFormat="1" ht="21" x14ac:dyDescent="0.25">
      <c r="A45" s="222"/>
      <c r="B45" s="123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3"/>
    </row>
    <row r="46" spans="1:17" s="192" customFormat="1" ht="21" x14ac:dyDescent="0.25">
      <c r="A46" s="222"/>
      <c r="B46" s="123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3"/>
    </row>
    <row r="47" spans="1:17" s="134" customFormat="1" ht="29.25" customHeight="1" thickBot="1" x14ac:dyDescent="0.3">
      <c r="A47" s="251" t="s">
        <v>144</v>
      </c>
      <c r="H47" s="123"/>
      <c r="Q47" s="123"/>
    </row>
    <row r="48" spans="1:17" ht="15.75" thickBot="1" x14ac:dyDescent="0.3">
      <c r="A48" s="135"/>
      <c r="B48" s="229" t="s">
        <v>103</v>
      </c>
      <c r="C48" s="229"/>
      <c r="D48" s="229"/>
      <c r="E48" s="229"/>
      <c r="F48" s="229"/>
      <c r="G48" s="230"/>
      <c r="I48" s="223" t="s">
        <v>141</v>
      </c>
      <c r="J48" s="224"/>
      <c r="K48" s="224"/>
      <c r="L48" s="224"/>
      <c r="M48" s="224"/>
      <c r="N48" s="224"/>
      <c r="O48" s="224"/>
      <c r="P48" s="225"/>
    </row>
    <row r="49" spans="1:16" ht="38.25" x14ac:dyDescent="0.25">
      <c r="A49" s="158" t="s">
        <v>96</v>
      </c>
      <c r="B49" s="156" t="s">
        <v>113</v>
      </c>
      <c r="C49" s="137" t="s">
        <v>114</v>
      </c>
      <c r="D49" s="137" t="s">
        <v>105</v>
      </c>
      <c r="E49" s="137" t="s">
        <v>104</v>
      </c>
      <c r="F49" s="137" t="s">
        <v>106</v>
      </c>
      <c r="G49" s="138" t="s">
        <v>97</v>
      </c>
      <c r="I49" s="136" t="s">
        <v>113</v>
      </c>
      <c r="J49" s="137" t="s">
        <v>114</v>
      </c>
      <c r="K49" s="137" t="s">
        <v>115</v>
      </c>
      <c r="L49" s="137" t="s">
        <v>116</v>
      </c>
      <c r="M49" s="137" t="s">
        <v>105</v>
      </c>
      <c r="N49" s="137" t="s">
        <v>104</v>
      </c>
      <c r="O49" s="137" t="s">
        <v>106</v>
      </c>
      <c r="P49" s="138" t="s">
        <v>97</v>
      </c>
    </row>
    <row r="50" spans="1:16" x14ac:dyDescent="0.25">
      <c r="A50" s="162" t="str">
        <f>CAP!B6</f>
        <v>FOUNDER A</v>
      </c>
      <c r="B50" s="200">
        <f>CHOOSE($F$4,$E6,($F6*1000000))</f>
        <v>128000</v>
      </c>
      <c r="C50" s="214"/>
      <c r="D50" s="200">
        <f>B50</f>
        <v>128000</v>
      </c>
      <c r="E50" s="213">
        <f>IFERROR(D50/$D$75,0)</f>
        <v>1</v>
      </c>
      <c r="F50" s="214">
        <f t="shared" ref="F50:F53" si="0">B50+C50</f>
        <v>128000</v>
      </c>
      <c r="G50" s="215">
        <f>IFERROR(F50/$F$75,0)</f>
        <v>0.7191011235955056</v>
      </c>
      <c r="I50" s="211">
        <f>B50</f>
        <v>128000</v>
      </c>
      <c r="J50" s="201">
        <f>C50</f>
        <v>0</v>
      </c>
      <c r="K50" s="201"/>
      <c r="L50" s="201"/>
      <c r="M50" s="212">
        <f>I50+K50+L50</f>
        <v>128000</v>
      </c>
      <c r="N50" s="213">
        <f t="shared" ref="N50:N55" ca="1" si="1">IFERROR(M50/$M$75,0)</f>
        <v>1</v>
      </c>
      <c r="O50" s="214">
        <f>I50+J50+K50+L50</f>
        <v>128000</v>
      </c>
      <c r="P50" s="215">
        <f t="shared" ref="P50:P55" ca="1" si="2">IFERROR(O50/$O$75,0)</f>
        <v>0.7191011235955056</v>
      </c>
    </row>
    <row r="51" spans="1:16" x14ac:dyDescent="0.25">
      <c r="A51" s="162" t="str">
        <f>CAP!B7</f>
        <v>FOUNDER B</v>
      </c>
      <c r="B51" s="200">
        <f>CHOOSE($F$4,$E7,($F7*1000000))</f>
        <v>0</v>
      </c>
      <c r="C51" s="216"/>
      <c r="D51" s="200">
        <f t="shared" ref="D51:D53" si="3">B51</f>
        <v>0</v>
      </c>
      <c r="E51" s="213">
        <f>IFERROR(D51/$D$75,0)</f>
        <v>0</v>
      </c>
      <c r="F51" s="214">
        <f t="shared" si="0"/>
        <v>0</v>
      </c>
      <c r="G51" s="215">
        <f>IFERROR(F51/$F$75,0)</f>
        <v>0</v>
      </c>
      <c r="I51" s="211">
        <f t="shared" ref="I51:I53" si="4">B51</f>
        <v>0</v>
      </c>
      <c r="J51" s="201">
        <f t="shared" ref="J51:J53" si="5">C51</f>
        <v>0</v>
      </c>
      <c r="K51" s="201"/>
      <c r="L51" s="201"/>
      <c r="M51" s="212">
        <f t="shared" ref="M51:M58" si="6">I51+K51+L51</f>
        <v>0</v>
      </c>
      <c r="N51" s="213">
        <f t="shared" ca="1" si="1"/>
        <v>0</v>
      </c>
      <c r="O51" s="214">
        <f t="shared" ref="O51:O74" si="7">I51+J51+K51+L51</f>
        <v>0</v>
      </c>
      <c r="P51" s="215">
        <f t="shared" ca="1" si="2"/>
        <v>0</v>
      </c>
    </row>
    <row r="52" spans="1:16" x14ac:dyDescent="0.25">
      <c r="A52" s="162" t="str">
        <f>CAP!B8</f>
        <v>FOUNDER C</v>
      </c>
      <c r="B52" s="200">
        <f>CHOOSE($F$4,$E8,($F8*1000000))</f>
        <v>0</v>
      </c>
      <c r="C52" s="216"/>
      <c r="D52" s="200">
        <f t="shared" si="3"/>
        <v>0</v>
      </c>
      <c r="E52" s="213">
        <f>IFERROR(D52/$D$75,0)</f>
        <v>0</v>
      </c>
      <c r="F52" s="214">
        <f t="shared" si="0"/>
        <v>0</v>
      </c>
      <c r="G52" s="215">
        <f>IFERROR(F52/$F$75,0)</f>
        <v>0</v>
      </c>
      <c r="I52" s="211">
        <f t="shared" si="4"/>
        <v>0</v>
      </c>
      <c r="J52" s="201">
        <f t="shared" si="5"/>
        <v>0</v>
      </c>
      <c r="K52" s="201"/>
      <c r="L52" s="201"/>
      <c r="M52" s="212">
        <f t="shared" si="6"/>
        <v>0</v>
      </c>
      <c r="N52" s="213">
        <f t="shared" ca="1" si="1"/>
        <v>0</v>
      </c>
      <c r="O52" s="214">
        <f t="shared" si="7"/>
        <v>0</v>
      </c>
      <c r="P52" s="215">
        <f t="shared" ca="1" si="2"/>
        <v>0</v>
      </c>
    </row>
    <row r="53" spans="1:16" x14ac:dyDescent="0.25">
      <c r="A53" s="162" t="str">
        <f>CAP!B9</f>
        <v>FOUNDER D</v>
      </c>
      <c r="B53" s="200">
        <f>CHOOSE($F$4,$E9,($F9*1000000))</f>
        <v>0</v>
      </c>
      <c r="C53" s="216"/>
      <c r="D53" s="200">
        <f t="shared" si="3"/>
        <v>0</v>
      </c>
      <c r="E53" s="213">
        <f>IFERROR(D53/$D$75,0)</f>
        <v>0</v>
      </c>
      <c r="F53" s="214">
        <f t="shared" si="0"/>
        <v>0</v>
      </c>
      <c r="G53" s="215">
        <f>IFERROR(F53/$F$75,0)</f>
        <v>0</v>
      </c>
      <c r="I53" s="211">
        <f t="shared" si="4"/>
        <v>0</v>
      </c>
      <c r="J53" s="201">
        <f t="shared" si="5"/>
        <v>0</v>
      </c>
      <c r="K53" s="201"/>
      <c r="L53" s="201"/>
      <c r="M53" s="212">
        <f t="shared" si="6"/>
        <v>0</v>
      </c>
      <c r="N53" s="213">
        <f t="shared" ca="1" si="1"/>
        <v>0</v>
      </c>
      <c r="O53" s="214">
        <f t="shared" si="7"/>
        <v>0</v>
      </c>
      <c r="P53" s="215">
        <f t="shared" ca="1" si="2"/>
        <v>0</v>
      </c>
    </row>
    <row r="54" spans="1:16" x14ac:dyDescent="0.25">
      <c r="A54" s="162" t="str">
        <f>CAP!B20</f>
        <v>SAFE PRE-1</v>
      </c>
      <c r="B54" s="200"/>
      <c r="C54" s="216"/>
      <c r="D54" s="216"/>
      <c r="E54" s="213"/>
      <c r="F54" s="214"/>
      <c r="G54" s="215"/>
      <c r="I54" s="211"/>
      <c r="J54" s="201"/>
      <c r="K54" s="201">
        <f ca="1">IFERROR(INT(B84/F84),0)</f>
        <v>0</v>
      </c>
      <c r="L54" s="201"/>
      <c r="M54" s="212">
        <f t="shared" ca="1" si="6"/>
        <v>0</v>
      </c>
      <c r="N54" s="213">
        <f t="shared" ca="1" si="1"/>
        <v>0</v>
      </c>
      <c r="O54" s="214">
        <f t="shared" ca="1" si="7"/>
        <v>0</v>
      </c>
      <c r="P54" s="215">
        <f t="shared" ca="1" si="2"/>
        <v>0</v>
      </c>
    </row>
    <row r="55" spans="1:16" x14ac:dyDescent="0.25">
      <c r="A55" s="162" t="str">
        <f>CAP!B21</f>
        <v>SAFE PRE-2</v>
      </c>
      <c r="B55" s="200"/>
      <c r="C55" s="216"/>
      <c r="D55" s="216"/>
      <c r="E55" s="213"/>
      <c r="F55" s="214"/>
      <c r="G55" s="215"/>
      <c r="I55" s="211"/>
      <c r="J55" s="201"/>
      <c r="K55" s="201">
        <f ca="1">IFERROR(INT(B85/F85),0)</f>
        <v>0</v>
      </c>
      <c r="L55" s="201"/>
      <c r="M55" s="212">
        <f t="shared" ca="1" si="6"/>
        <v>0</v>
      </c>
      <c r="N55" s="213">
        <f t="shared" ca="1" si="1"/>
        <v>0</v>
      </c>
      <c r="O55" s="214">
        <f t="shared" ca="1" si="7"/>
        <v>0</v>
      </c>
      <c r="P55" s="215">
        <f t="shared" ca="1" si="2"/>
        <v>0</v>
      </c>
    </row>
    <row r="56" spans="1:16" x14ac:dyDescent="0.25">
      <c r="A56" s="162" t="str">
        <f>B26</f>
        <v>SAFE POST-1</v>
      </c>
      <c r="B56" s="200"/>
      <c r="C56" s="216"/>
      <c r="D56" s="216"/>
      <c r="E56" s="213"/>
      <c r="F56" s="214"/>
      <c r="G56" s="215"/>
      <c r="I56" s="211"/>
      <c r="J56" s="201"/>
      <c r="K56" s="201">
        <f ca="1">IFERROR(INT(B86/F86),0)</f>
        <v>0</v>
      </c>
      <c r="L56" s="201"/>
      <c r="M56" s="212">
        <f t="shared" ca="1" si="6"/>
        <v>0</v>
      </c>
      <c r="N56" s="213">
        <f t="shared" ref="N56:N57" ca="1" si="8">IFERROR(M56/$M$75,0)</f>
        <v>0</v>
      </c>
      <c r="O56" s="214">
        <f t="shared" ca="1" si="7"/>
        <v>0</v>
      </c>
      <c r="P56" s="215">
        <f t="shared" ref="P56:P57" ca="1" si="9">IFERROR(O56/$O$75,0)</f>
        <v>0</v>
      </c>
    </row>
    <row r="57" spans="1:16" x14ac:dyDescent="0.25">
      <c r="A57" s="162" t="str">
        <f>B27</f>
        <v>SAFE POST-2</v>
      </c>
      <c r="B57" s="200"/>
      <c r="C57" s="216"/>
      <c r="D57" s="216"/>
      <c r="E57" s="213"/>
      <c r="F57" s="214"/>
      <c r="G57" s="215"/>
      <c r="I57" s="211"/>
      <c r="J57" s="201"/>
      <c r="K57" s="201">
        <f ca="1">IFERROR(INT(B87/F87),0)</f>
        <v>0</v>
      </c>
      <c r="L57" s="201"/>
      <c r="M57" s="212">
        <f t="shared" ca="1" si="6"/>
        <v>0</v>
      </c>
      <c r="N57" s="213">
        <f t="shared" ca="1" si="8"/>
        <v>0</v>
      </c>
      <c r="O57" s="214">
        <f t="shared" ca="1" si="7"/>
        <v>0</v>
      </c>
      <c r="P57" s="215">
        <f t="shared" ca="1" si="9"/>
        <v>0</v>
      </c>
    </row>
    <row r="58" spans="1:16" x14ac:dyDescent="0.25">
      <c r="A58" s="162" t="s">
        <v>126</v>
      </c>
      <c r="B58" s="200"/>
      <c r="C58" s="216"/>
      <c r="D58" s="216"/>
      <c r="E58" s="213"/>
      <c r="F58" s="214"/>
      <c r="G58" s="215"/>
      <c r="I58" s="211"/>
      <c r="J58" s="201"/>
      <c r="K58" s="201"/>
      <c r="L58" s="201">
        <f ca="1">IFERROR(INT(B79/B81),0)</f>
        <v>0</v>
      </c>
      <c r="M58" s="212">
        <f t="shared" ca="1" si="6"/>
        <v>0</v>
      </c>
      <c r="N58" s="213">
        <f ca="1">IFERROR(M58/$M$75,0)</f>
        <v>0</v>
      </c>
      <c r="O58" s="214">
        <f t="shared" ca="1" si="7"/>
        <v>0</v>
      </c>
      <c r="P58" s="215">
        <f t="shared" ref="P58:P74" ca="1" si="10">IFERROR(O58/$O$75,0)</f>
        <v>0</v>
      </c>
    </row>
    <row r="59" spans="1:16" hidden="1" x14ac:dyDescent="0.25">
      <c r="A59" s="163"/>
      <c r="B59" s="200"/>
      <c r="C59" s="216"/>
      <c r="D59" s="216"/>
      <c r="E59" s="213"/>
      <c r="F59" s="214"/>
      <c r="G59" s="215"/>
      <c r="I59" s="211"/>
      <c r="J59" s="201"/>
      <c r="K59" s="201"/>
      <c r="L59" s="201"/>
      <c r="M59" s="212"/>
      <c r="N59" s="213"/>
      <c r="O59" s="214">
        <f t="shared" si="7"/>
        <v>0</v>
      </c>
      <c r="P59" s="215">
        <f t="shared" ca="1" si="10"/>
        <v>0</v>
      </c>
    </row>
    <row r="60" spans="1:16" hidden="1" x14ac:dyDescent="0.25">
      <c r="A60" s="163"/>
      <c r="B60" s="200"/>
      <c r="C60" s="216"/>
      <c r="D60" s="216"/>
      <c r="E60" s="213"/>
      <c r="F60" s="214"/>
      <c r="G60" s="215"/>
      <c r="I60" s="211"/>
      <c r="J60" s="201"/>
      <c r="K60" s="201"/>
      <c r="L60" s="201"/>
      <c r="M60" s="212"/>
      <c r="N60" s="213"/>
      <c r="O60" s="214">
        <f t="shared" si="7"/>
        <v>0</v>
      </c>
      <c r="P60" s="215">
        <f t="shared" ca="1" si="10"/>
        <v>0</v>
      </c>
    </row>
    <row r="61" spans="1:16" hidden="1" x14ac:dyDescent="0.25">
      <c r="A61" s="163"/>
      <c r="B61" s="200"/>
      <c r="C61" s="216"/>
      <c r="D61" s="216"/>
      <c r="E61" s="213"/>
      <c r="F61" s="214"/>
      <c r="G61" s="215"/>
      <c r="I61" s="211"/>
      <c r="J61" s="201"/>
      <c r="K61" s="201"/>
      <c r="L61" s="201"/>
      <c r="M61" s="212"/>
      <c r="N61" s="213"/>
      <c r="O61" s="214">
        <f t="shared" si="7"/>
        <v>0</v>
      </c>
      <c r="P61" s="215">
        <f t="shared" ca="1" si="10"/>
        <v>0</v>
      </c>
    </row>
    <row r="62" spans="1:16" hidden="1" x14ac:dyDescent="0.25">
      <c r="A62" s="163"/>
      <c r="B62" s="200"/>
      <c r="C62" s="216"/>
      <c r="D62" s="216"/>
      <c r="E62" s="213"/>
      <c r="F62" s="214"/>
      <c r="G62" s="215"/>
      <c r="I62" s="211"/>
      <c r="J62" s="201"/>
      <c r="K62" s="201"/>
      <c r="L62" s="201"/>
      <c r="M62" s="212"/>
      <c r="N62" s="213"/>
      <c r="O62" s="214">
        <f t="shared" si="7"/>
        <v>0</v>
      </c>
      <c r="P62" s="215">
        <f t="shared" ca="1" si="10"/>
        <v>0</v>
      </c>
    </row>
    <row r="63" spans="1:16" hidden="1" x14ac:dyDescent="0.25">
      <c r="A63" s="163"/>
      <c r="B63" s="200"/>
      <c r="C63" s="216"/>
      <c r="D63" s="216"/>
      <c r="E63" s="213"/>
      <c r="F63" s="214"/>
      <c r="G63" s="215"/>
      <c r="I63" s="211"/>
      <c r="J63" s="201"/>
      <c r="K63" s="201"/>
      <c r="L63" s="201"/>
      <c r="M63" s="212"/>
      <c r="N63" s="213"/>
      <c r="O63" s="214">
        <f t="shared" si="7"/>
        <v>0</v>
      </c>
      <c r="P63" s="215">
        <f t="shared" ca="1" si="10"/>
        <v>0</v>
      </c>
    </row>
    <row r="64" spans="1:16" hidden="1" x14ac:dyDescent="0.25">
      <c r="A64" s="163"/>
      <c r="B64" s="200"/>
      <c r="C64" s="216"/>
      <c r="D64" s="216"/>
      <c r="E64" s="213"/>
      <c r="F64" s="214"/>
      <c r="G64" s="215"/>
      <c r="I64" s="211"/>
      <c r="J64" s="201"/>
      <c r="K64" s="201"/>
      <c r="L64" s="201"/>
      <c r="M64" s="212"/>
      <c r="N64" s="213"/>
      <c r="O64" s="214">
        <f t="shared" si="7"/>
        <v>0</v>
      </c>
      <c r="P64" s="215">
        <f t="shared" ca="1" si="10"/>
        <v>0</v>
      </c>
    </row>
    <row r="65" spans="1:20" hidden="1" x14ac:dyDescent="0.25">
      <c r="A65" s="163"/>
      <c r="B65" s="200"/>
      <c r="C65" s="216"/>
      <c r="D65" s="216"/>
      <c r="E65" s="213"/>
      <c r="F65" s="214"/>
      <c r="G65" s="215"/>
      <c r="I65" s="211"/>
      <c r="J65" s="201"/>
      <c r="K65" s="201"/>
      <c r="L65" s="201"/>
      <c r="M65" s="212"/>
      <c r="N65" s="213"/>
      <c r="O65" s="214">
        <f t="shared" si="7"/>
        <v>0</v>
      </c>
      <c r="P65" s="215">
        <f t="shared" ca="1" si="10"/>
        <v>0</v>
      </c>
    </row>
    <row r="66" spans="1:20" hidden="1" x14ac:dyDescent="0.25">
      <c r="A66" s="163"/>
      <c r="B66" s="200"/>
      <c r="C66" s="216"/>
      <c r="D66" s="216"/>
      <c r="E66" s="213"/>
      <c r="F66" s="214"/>
      <c r="G66" s="215"/>
      <c r="I66" s="211"/>
      <c r="J66" s="201"/>
      <c r="K66" s="201"/>
      <c r="L66" s="201"/>
      <c r="M66" s="212"/>
      <c r="N66" s="213"/>
      <c r="O66" s="214">
        <f t="shared" si="7"/>
        <v>0</v>
      </c>
      <c r="P66" s="215">
        <f t="shared" ca="1" si="10"/>
        <v>0</v>
      </c>
    </row>
    <row r="67" spans="1:20" hidden="1" x14ac:dyDescent="0.25">
      <c r="A67" s="163"/>
      <c r="B67" s="200"/>
      <c r="C67" s="216"/>
      <c r="D67" s="216"/>
      <c r="E67" s="213"/>
      <c r="F67" s="214"/>
      <c r="G67" s="215"/>
      <c r="I67" s="211"/>
      <c r="J67" s="201"/>
      <c r="K67" s="201"/>
      <c r="L67" s="201"/>
      <c r="M67" s="212"/>
      <c r="N67" s="213"/>
      <c r="O67" s="214">
        <f t="shared" si="7"/>
        <v>0</v>
      </c>
      <c r="P67" s="215">
        <f t="shared" ca="1" si="10"/>
        <v>0</v>
      </c>
    </row>
    <row r="68" spans="1:20" hidden="1" x14ac:dyDescent="0.25">
      <c r="A68" s="163"/>
      <c r="B68" s="200"/>
      <c r="C68" s="216"/>
      <c r="D68" s="216"/>
      <c r="E68" s="213"/>
      <c r="F68" s="214"/>
      <c r="G68" s="215"/>
      <c r="I68" s="211"/>
      <c r="J68" s="201"/>
      <c r="K68" s="201"/>
      <c r="L68" s="201"/>
      <c r="M68" s="212"/>
      <c r="N68" s="213"/>
      <c r="O68" s="214">
        <f t="shared" si="7"/>
        <v>0</v>
      </c>
      <c r="P68" s="215">
        <f t="shared" ca="1" si="10"/>
        <v>0</v>
      </c>
    </row>
    <row r="69" spans="1:20" hidden="1" x14ac:dyDescent="0.25">
      <c r="A69" s="163"/>
      <c r="B69" s="200"/>
      <c r="C69" s="216"/>
      <c r="D69" s="216"/>
      <c r="E69" s="213"/>
      <c r="F69" s="214"/>
      <c r="G69" s="215"/>
      <c r="I69" s="211"/>
      <c r="J69" s="201"/>
      <c r="K69" s="201"/>
      <c r="L69" s="201"/>
      <c r="M69" s="212"/>
      <c r="N69" s="213"/>
      <c r="O69" s="214">
        <f t="shared" si="7"/>
        <v>0</v>
      </c>
      <c r="P69" s="215">
        <f t="shared" ca="1" si="10"/>
        <v>0</v>
      </c>
    </row>
    <row r="70" spans="1:20" ht="13.15" hidden="1" customHeight="1" x14ac:dyDescent="0.25">
      <c r="A70" s="163"/>
      <c r="B70" s="217"/>
      <c r="C70" s="218"/>
      <c r="D70" s="218"/>
      <c r="E70" s="213"/>
      <c r="F70" s="214"/>
      <c r="G70" s="215"/>
      <c r="I70" s="211"/>
      <c r="J70" s="201"/>
      <c r="K70" s="201"/>
      <c r="L70" s="201"/>
      <c r="M70" s="212"/>
      <c r="N70" s="213"/>
      <c r="O70" s="214">
        <f t="shared" si="7"/>
        <v>0</v>
      </c>
      <c r="P70" s="215">
        <f t="shared" ca="1" si="10"/>
        <v>0</v>
      </c>
    </row>
    <row r="71" spans="1:20" ht="13.15" hidden="1" customHeight="1" x14ac:dyDescent="0.25">
      <c r="A71" s="163"/>
      <c r="B71" s="217"/>
      <c r="C71" s="218"/>
      <c r="D71" s="218"/>
      <c r="E71" s="213"/>
      <c r="F71" s="214"/>
      <c r="G71" s="215"/>
      <c r="I71" s="211"/>
      <c r="J71" s="201"/>
      <c r="K71" s="201"/>
      <c r="L71" s="201"/>
      <c r="M71" s="212"/>
      <c r="N71" s="213"/>
      <c r="O71" s="214">
        <f t="shared" si="7"/>
        <v>0</v>
      </c>
      <c r="P71" s="215">
        <f t="shared" ca="1" si="10"/>
        <v>0</v>
      </c>
    </row>
    <row r="72" spans="1:20" hidden="1" x14ac:dyDescent="0.25">
      <c r="A72" s="163"/>
      <c r="B72" s="217"/>
      <c r="C72" s="218"/>
      <c r="D72" s="218"/>
      <c r="E72" s="213"/>
      <c r="F72" s="214"/>
      <c r="G72" s="215"/>
      <c r="I72" s="211"/>
      <c r="J72" s="201"/>
      <c r="K72" s="201"/>
      <c r="L72" s="201"/>
      <c r="M72" s="212"/>
      <c r="N72" s="213"/>
      <c r="O72" s="214">
        <f t="shared" si="7"/>
        <v>0</v>
      </c>
      <c r="P72" s="215">
        <f t="shared" ca="1" si="10"/>
        <v>0</v>
      </c>
    </row>
    <row r="73" spans="1:20" x14ac:dyDescent="0.25">
      <c r="A73" s="163" t="s">
        <v>139</v>
      </c>
      <c r="B73" s="217"/>
      <c r="C73" s="218"/>
      <c r="D73" s="218"/>
      <c r="E73" s="213"/>
      <c r="F73" s="214"/>
      <c r="G73" s="215"/>
      <c r="I73" s="211"/>
      <c r="J73" s="201">
        <f ca="1">IFERROR(INT(B80*O75),0)</f>
        <v>0</v>
      </c>
      <c r="K73" s="201"/>
      <c r="L73" s="201"/>
      <c r="M73" s="212"/>
      <c r="N73" s="213"/>
      <c r="O73" s="214">
        <f t="shared" ca="1" si="7"/>
        <v>0</v>
      </c>
      <c r="P73" s="215">
        <f t="shared" ca="1" si="10"/>
        <v>0</v>
      </c>
    </row>
    <row r="74" spans="1:20" x14ac:dyDescent="0.25">
      <c r="A74" s="164" t="s">
        <v>140</v>
      </c>
      <c r="B74" s="219"/>
      <c r="C74" s="220">
        <f>CAP!E14</f>
        <v>50000</v>
      </c>
      <c r="D74" s="220"/>
      <c r="E74" s="213">
        <f>IFERROR(D74/$D$75,0)</f>
        <v>0</v>
      </c>
      <c r="F74" s="214">
        <f>B74+C74</f>
        <v>50000</v>
      </c>
      <c r="G74" s="215">
        <f>IFERROR(F74/$F$75,0)</f>
        <v>0.2808988764044944</v>
      </c>
      <c r="I74" s="211">
        <f>B74</f>
        <v>0</v>
      </c>
      <c r="J74" s="201">
        <f>C74</f>
        <v>50000</v>
      </c>
      <c r="K74" s="201"/>
      <c r="L74" s="201"/>
      <c r="M74" s="212"/>
      <c r="N74" s="213"/>
      <c r="O74" s="214">
        <f t="shared" si="7"/>
        <v>50000</v>
      </c>
      <c r="P74" s="215">
        <f t="shared" ca="1" si="10"/>
        <v>0.2808988764044944</v>
      </c>
    </row>
    <row r="75" spans="1:20" ht="15.75" thickBot="1" x14ac:dyDescent="0.3">
      <c r="A75" s="159" t="s">
        <v>7</v>
      </c>
      <c r="B75" s="157">
        <f t="shared" ref="B75:G75" si="11">SUM(B50:B74)</f>
        <v>128000</v>
      </c>
      <c r="C75" s="140">
        <f t="shared" si="11"/>
        <v>50000</v>
      </c>
      <c r="D75" s="140">
        <f t="shared" si="11"/>
        <v>128000</v>
      </c>
      <c r="E75" s="141">
        <f t="shared" si="11"/>
        <v>1</v>
      </c>
      <c r="F75" s="140">
        <f t="shared" si="11"/>
        <v>178000</v>
      </c>
      <c r="G75" s="142">
        <f t="shared" si="11"/>
        <v>1</v>
      </c>
      <c r="I75" s="139">
        <f t="shared" ref="I75:P75" si="12">SUM(I50:I74)</f>
        <v>128000</v>
      </c>
      <c r="J75" s="140">
        <f t="shared" ca="1" si="12"/>
        <v>50000</v>
      </c>
      <c r="K75" s="140">
        <f t="shared" ca="1" si="12"/>
        <v>0</v>
      </c>
      <c r="L75" s="140">
        <f ca="1">SUM(L50:L74)</f>
        <v>0</v>
      </c>
      <c r="M75" s="140">
        <f t="shared" ca="1" si="12"/>
        <v>128000</v>
      </c>
      <c r="N75" s="141">
        <f t="shared" ca="1" si="12"/>
        <v>1</v>
      </c>
      <c r="O75" s="140">
        <f t="shared" ca="1" si="12"/>
        <v>178000</v>
      </c>
      <c r="P75" s="142">
        <f t="shared" ca="1" si="12"/>
        <v>1</v>
      </c>
    </row>
    <row r="76" spans="1:20" ht="15.75" thickBot="1" x14ac:dyDescent="0.3">
      <c r="A76" s="128"/>
      <c r="B76" s="124"/>
      <c r="C76" s="125"/>
      <c r="D76" s="125"/>
      <c r="E76" s="126"/>
      <c r="F76" s="127"/>
      <c r="G76" s="127"/>
    </row>
    <row r="77" spans="1:20" ht="15.75" thickBot="1" x14ac:dyDescent="0.3">
      <c r="A77" s="243" t="s">
        <v>18</v>
      </c>
      <c r="B77" s="244"/>
      <c r="C77" s="125"/>
      <c r="D77" s="125"/>
      <c r="E77" s="125"/>
      <c r="F77" s="125"/>
      <c r="G77" s="125"/>
      <c r="H77" s="125"/>
      <c r="I77" s="128"/>
      <c r="K77" s="160"/>
      <c r="L77" s="160"/>
      <c r="O77" s="149"/>
    </row>
    <row r="78" spans="1:20" x14ac:dyDescent="0.25">
      <c r="A78" s="165" t="s">
        <v>100</v>
      </c>
      <c r="B78" s="204">
        <f>CAP!E31</f>
        <v>0</v>
      </c>
      <c r="C78" s="125"/>
      <c r="D78" s="150"/>
      <c r="E78" s="125"/>
      <c r="F78" s="125"/>
      <c r="G78" s="125"/>
      <c r="H78" s="125"/>
    </row>
    <row r="79" spans="1:20" x14ac:dyDescent="0.25">
      <c r="A79" s="166" t="s">
        <v>108</v>
      </c>
      <c r="B79" s="205">
        <f>CAP!E33</f>
        <v>0</v>
      </c>
      <c r="C79" s="125"/>
      <c r="D79" s="125"/>
      <c r="E79" s="125"/>
      <c r="F79" s="125"/>
      <c r="G79" s="143"/>
      <c r="H79" s="143"/>
      <c r="T79" s="161"/>
    </row>
    <row r="80" spans="1:20" x14ac:dyDescent="0.25">
      <c r="A80" s="166" t="s">
        <v>137</v>
      </c>
      <c r="B80" s="206">
        <f>CAP!E35</f>
        <v>0</v>
      </c>
      <c r="C80" s="125"/>
      <c r="D80" s="125"/>
      <c r="E80" s="125"/>
      <c r="F80" s="125"/>
      <c r="G80" s="143"/>
      <c r="H80" s="143"/>
      <c r="T80" s="161"/>
    </row>
    <row r="81" spans="1:9" ht="15.75" thickBot="1" x14ac:dyDescent="0.3">
      <c r="A81" s="167" t="s">
        <v>44</v>
      </c>
      <c r="B81" s="207">
        <f ca="1">IFERROR((ROUND(B78/(I75+J75+K75),4)),0)</f>
        <v>0</v>
      </c>
      <c r="C81" s="125"/>
      <c r="D81" s="131"/>
      <c r="E81" s="132"/>
      <c r="F81" s="125"/>
      <c r="G81" s="125"/>
      <c r="H81" s="125"/>
    </row>
    <row r="82" spans="1:9" ht="15.75" thickBot="1" x14ac:dyDescent="0.3">
      <c r="A82" s="128"/>
      <c r="B82" s="129"/>
      <c r="C82" s="130"/>
      <c r="D82" s="128"/>
      <c r="E82" s="128"/>
      <c r="F82" s="128"/>
      <c r="G82" s="128"/>
      <c r="H82" s="128"/>
    </row>
    <row r="83" spans="1:9" ht="26.25" thickBot="1" x14ac:dyDescent="0.3">
      <c r="A83" s="146" t="s">
        <v>107</v>
      </c>
      <c r="B83" s="147" t="s">
        <v>98</v>
      </c>
      <c r="C83" s="148" t="s">
        <v>101</v>
      </c>
      <c r="D83" s="148" t="s">
        <v>99</v>
      </c>
      <c r="E83" s="148" t="s">
        <v>102</v>
      </c>
      <c r="F83" s="145" t="s">
        <v>44</v>
      </c>
      <c r="G83" s="128"/>
      <c r="H83" s="128"/>
      <c r="I83" s="133"/>
    </row>
    <row r="84" spans="1:9" x14ac:dyDescent="0.25">
      <c r="A84" s="169" t="str">
        <f>CAP!B20</f>
        <v>SAFE PRE-1</v>
      </c>
      <c r="B84" s="170">
        <f>CAP!D20</f>
        <v>200000</v>
      </c>
      <c r="C84" s="171">
        <f>CAP!E20</f>
        <v>0.8</v>
      </c>
      <c r="D84" s="170">
        <f>CAP!F20</f>
        <v>8000000</v>
      </c>
      <c r="E84" s="172"/>
      <c r="F84" s="202">
        <f ca="1">IFERROR(ROUND(IF(D84/($F$75+J73)&gt;C84*$B$81,C84*$B$81,D84/($F$75+J73)),4),0)</f>
        <v>0</v>
      </c>
      <c r="G84" s="144"/>
      <c r="H84" s="144"/>
    </row>
    <row r="85" spans="1:9" ht="15.75" thickBot="1" x14ac:dyDescent="0.3">
      <c r="A85" s="173" t="str">
        <f>CAP!B21</f>
        <v>SAFE PRE-2</v>
      </c>
      <c r="B85" s="174">
        <f>CAP!D21</f>
        <v>0</v>
      </c>
      <c r="C85" s="175">
        <f>CAP!E21</f>
        <v>0.8</v>
      </c>
      <c r="D85" s="174">
        <f>CAP!F21</f>
        <v>8000000</v>
      </c>
      <c r="E85" s="176"/>
      <c r="F85" s="203">
        <f ca="1">IFERROR(ROUND(IF(D85/($F$75+J73)&gt;C85*$B$81,C85*$B$81,D85/($F$75+J73)),4),0)</f>
        <v>0</v>
      </c>
      <c r="G85" s="144"/>
      <c r="H85" s="144"/>
    </row>
    <row r="86" spans="1:9" x14ac:dyDescent="0.25">
      <c r="A86" s="169" t="str">
        <f>B26</f>
        <v>SAFE POST-1</v>
      </c>
      <c r="B86" s="170">
        <f t="shared" ref="B86:D87" si="13">D26</f>
        <v>3950000</v>
      </c>
      <c r="C86" s="171">
        <f t="shared" si="13"/>
        <v>0.8</v>
      </c>
      <c r="D86" s="170">
        <f t="shared" si="13"/>
        <v>42000000</v>
      </c>
      <c r="E86" s="172"/>
      <c r="F86" s="202">
        <f ca="1">IFERROR(ROUND(IF(D86/($F$75+K75)&gt;C86*$B$81,C86*$B$81,D86/($F$75+K75)),4),0)</f>
        <v>0</v>
      </c>
    </row>
    <row r="87" spans="1:9" ht="15.75" thickBot="1" x14ac:dyDescent="0.3">
      <c r="A87" s="173" t="str">
        <f>B27</f>
        <v>SAFE POST-2</v>
      </c>
      <c r="B87" s="174">
        <f t="shared" si="13"/>
        <v>0</v>
      </c>
      <c r="C87" s="175">
        <f t="shared" si="13"/>
        <v>0.8</v>
      </c>
      <c r="D87" s="174">
        <f t="shared" si="13"/>
        <v>8000000</v>
      </c>
      <c r="E87" s="176"/>
      <c r="F87" s="203">
        <f ca="1">IFERROR(ROUND(IF(D87/($F$75+K75)&gt;C87*$B$81,C87*$B$81,D87/($F$75+K75)),4),0)</f>
        <v>0</v>
      </c>
    </row>
    <row r="88" spans="1:9" ht="15.75" thickBot="1" x14ac:dyDescent="0.3">
      <c r="A88" s="128"/>
      <c r="B88" s="199">
        <f>SUM(B84:B87)</f>
        <v>4150000</v>
      </c>
      <c r="C88" s="153"/>
      <c r="D88" s="152"/>
      <c r="E88" s="154"/>
      <c r="F88" s="155"/>
    </row>
    <row r="89" spans="1:9" x14ac:dyDescent="0.25">
      <c r="A89" s="151"/>
    </row>
    <row r="91" spans="1:9" s="168" customFormat="1" x14ac:dyDescent="0.25"/>
    <row r="108" ht="17.45" customHeight="1" x14ac:dyDescent="0.25"/>
    <row r="113" ht="14.1" customHeight="1" x14ac:dyDescent="0.25"/>
    <row r="114" ht="17.100000000000001" customHeight="1" x14ac:dyDescent="0.25"/>
  </sheetData>
  <mergeCells count="24">
    <mergeCell ref="E11:F11"/>
    <mergeCell ref="E24:E25"/>
    <mergeCell ref="F22:G22"/>
    <mergeCell ref="F28:G28"/>
    <mergeCell ref="A77:B77"/>
    <mergeCell ref="F20:G20"/>
    <mergeCell ref="F21:G21"/>
    <mergeCell ref="F24:G25"/>
    <mergeCell ref="I48:P48"/>
    <mergeCell ref="B4:E4"/>
    <mergeCell ref="B18:C19"/>
    <mergeCell ref="E10:F10"/>
    <mergeCell ref="B48:G48"/>
    <mergeCell ref="D18:D19"/>
    <mergeCell ref="E18:E19"/>
    <mergeCell ref="F18:G19"/>
    <mergeCell ref="E14:F14"/>
    <mergeCell ref="E33:F33"/>
    <mergeCell ref="E31:F31"/>
    <mergeCell ref="E35:F35"/>
    <mergeCell ref="F26:G26"/>
    <mergeCell ref="F27:G27"/>
    <mergeCell ref="B24:C25"/>
    <mergeCell ref="D24:D25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3"/>
  <sheetViews>
    <sheetView workbookViewId="0">
      <selection activeCell="A12" sqref="A12:E23"/>
    </sheetView>
  </sheetViews>
  <sheetFormatPr defaultColWidth="8.85546875" defaultRowHeight="15" x14ac:dyDescent="0.25"/>
  <cols>
    <col min="1" max="1" width="40.140625" customWidth="1"/>
    <col min="2" max="2" width="15.5703125" customWidth="1"/>
    <col min="3" max="3" width="25.85546875" customWidth="1"/>
    <col min="4" max="4" width="19" customWidth="1"/>
    <col min="5" max="5" width="37.42578125" customWidth="1"/>
    <col min="6" max="6" width="16.140625" customWidth="1"/>
    <col min="7" max="7" width="11.5703125" customWidth="1"/>
    <col min="8" max="8" width="11.5703125" bestFit="1" customWidth="1"/>
  </cols>
  <sheetData>
    <row r="1" spans="1:11" ht="15.75" thickBot="1" x14ac:dyDescent="0.3"/>
    <row r="2" spans="1:11" x14ac:dyDescent="0.25">
      <c r="A2" s="85"/>
      <c r="B2" s="103"/>
      <c r="C2" s="104" t="s">
        <v>80</v>
      </c>
      <c r="D2" s="104" t="s">
        <v>81</v>
      </c>
      <c r="E2" s="103"/>
      <c r="F2" s="103"/>
      <c r="G2" s="103"/>
      <c r="H2" s="111" t="e">
        <f>C4*F4</f>
        <v>#REF!</v>
      </c>
      <c r="I2" s="103"/>
      <c r="J2" s="103"/>
      <c r="K2" s="89"/>
    </row>
    <row r="3" spans="1:11" x14ac:dyDescent="0.25">
      <c r="A3" s="86"/>
      <c r="B3" s="105" t="s">
        <v>77</v>
      </c>
      <c r="C3" s="105" t="s">
        <v>79</v>
      </c>
      <c r="F3" s="52" t="s">
        <v>85</v>
      </c>
      <c r="G3" s="52" t="s">
        <v>86</v>
      </c>
      <c r="H3" s="110" t="e">
        <f>D4*F4</f>
        <v>#REF!</v>
      </c>
      <c r="K3" s="87"/>
    </row>
    <row r="4" spans="1:11" x14ac:dyDescent="0.25">
      <c r="A4" s="86" t="s">
        <v>76</v>
      </c>
      <c r="B4" s="81">
        <f>'Cap Table'!B9</f>
        <v>6000</v>
      </c>
      <c r="C4" s="81">
        <v>5000</v>
      </c>
      <c r="D4" s="81">
        <v>6000</v>
      </c>
      <c r="F4" s="106" t="e">
        <f>#REF!</f>
        <v>#REF!</v>
      </c>
      <c r="G4" s="91" t="e">
        <f>D4*F4</f>
        <v>#REF!</v>
      </c>
      <c r="H4" t="s">
        <v>87</v>
      </c>
      <c r="K4" s="87"/>
    </row>
    <row r="5" spans="1:11" x14ac:dyDescent="0.25">
      <c r="A5" s="86" t="s">
        <v>78</v>
      </c>
      <c r="B5" s="81">
        <v>56601</v>
      </c>
      <c r="C5" s="81">
        <f>B5/36*8</f>
        <v>12578</v>
      </c>
      <c r="D5" s="81"/>
      <c r="E5" t="s">
        <v>83</v>
      </c>
      <c r="F5" s="106" t="e">
        <f>F4</f>
        <v>#REF!</v>
      </c>
      <c r="G5" s="91" t="e">
        <f>F5*C5</f>
        <v>#REF!</v>
      </c>
      <c r="H5" t="s">
        <v>87</v>
      </c>
      <c r="K5" s="87"/>
    </row>
    <row r="6" spans="1:11" ht="45" x14ac:dyDescent="0.25">
      <c r="A6" s="86" t="s">
        <v>51</v>
      </c>
      <c r="B6" s="75"/>
      <c r="C6" s="107">
        <v>0</v>
      </c>
      <c r="D6" s="108">
        <v>29540</v>
      </c>
      <c r="E6" s="109" t="s">
        <v>82</v>
      </c>
      <c r="G6" s="91">
        <f>D6</f>
        <v>29540</v>
      </c>
      <c r="K6" s="87"/>
    </row>
    <row r="7" spans="1:11" x14ac:dyDescent="0.25">
      <c r="A7" s="86"/>
      <c r="B7" s="75"/>
      <c r="C7" s="75"/>
      <c r="G7" s="91"/>
      <c r="K7" s="87"/>
    </row>
    <row r="8" spans="1:11" x14ac:dyDescent="0.25">
      <c r="A8" s="86" t="s">
        <v>84</v>
      </c>
      <c r="B8" s="75"/>
      <c r="C8" s="75">
        <v>0</v>
      </c>
      <c r="D8" s="81">
        <v>16720</v>
      </c>
      <c r="F8" s="110" t="e">
        <f>F4</f>
        <v>#REF!</v>
      </c>
      <c r="G8" s="102" t="e">
        <f t="shared" ref="G8" si="0">D8*F8</f>
        <v>#REF!</v>
      </c>
      <c r="H8" t="s">
        <v>87</v>
      </c>
      <c r="K8" s="87"/>
    </row>
    <row r="9" spans="1:11" x14ac:dyDescent="0.25">
      <c r="A9" s="86"/>
      <c r="G9" s="91" t="e">
        <f>SUM(G4:G8)</f>
        <v>#REF!</v>
      </c>
      <c r="K9" s="87"/>
    </row>
    <row r="10" spans="1:11" ht="15.75" thickBot="1" x14ac:dyDescent="0.3">
      <c r="A10" s="88"/>
      <c r="B10" s="82"/>
      <c r="C10" s="82"/>
      <c r="D10" s="82"/>
      <c r="E10" s="82"/>
      <c r="F10" s="82"/>
      <c r="G10" s="82"/>
      <c r="H10" s="82"/>
      <c r="I10" s="82"/>
      <c r="J10" s="82"/>
      <c r="K10" s="90"/>
    </row>
    <row r="12" spans="1:11" x14ac:dyDescent="0.25">
      <c r="A12" s="116"/>
      <c r="B12" s="117"/>
      <c r="C12" s="117"/>
      <c r="D12" s="117"/>
      <c r="E12" s="118"/>
    </row>
    <row r="13" spans="1:11" x14ac:dyDescent="0.25">
      <c r="A13" s="119"/>
      <c r="B13" s="105" t="s">
        <v>89</v>
      </c>
      <c r="C13" s="105" t="s">
        <v>90</v>
      </c>
      <c r="E13" s="120"/>
    </row>
    <row r="14" spans="1:11" x14ac:dyDescent="0.25">
      <c r="A14" s="119"/>
      <c r="E14" s="120"/>
    </row>
    <row r="15" spans="1:11" x14ac:dyDescent="0.25">
      <c r="A15" s="119" t="s">
        <v>76</v>
      </c>
      <c r="B15" s="81">
        <v>6000</v>
      </c>
      <c r="C15" s="81">
        <v>6000</v>
      </c>
      <c r="E15" s="120"/>
    </row>
    <row r="16" spans="1:11" x14ac:dyDescent="0.25">
      <c r="A16" s="119" t="s">
        <v>44</v>
      </c>
      <c r="B16" s="114" t="e">
        <f>F4</f>
        <v>#REF!</v>
      </c>
      <c r="C16" s="114" t="e">
        <f>F4</f>
        <v>#REF!</v>
      </c>
      <c r="E16" s="120"/>
    </row>
    <row r="17" spans="1:5" ht="15.75" thickBot="1" x14ac:dyDescent="0.3">
      <c r="A17" s="119"/>
      <c r="B17" s="115" t="e">
        <f>B15*B16</f>
        <v>#REF!</v>
      </c>
      <c r="C17" s="115" t="e">
        <f>C15*C16</f>
        <v>#REF!</v>
      </c>
      <c r="E17" s="120"/>
    </row>
    <row r="18" spans="1:5" ht="15.75" thickTop="1" x14ac:dyDescent="0.25">
      <c r="A18" s="119"/>
      <c r="E18" s="120"/>
    </row>
    <row r="19" spans="1:5" x14ac:dyDescent="0.25">
      <c r="A19" s="119" t="s">
        <v>91</v>
      </c>
      <c r="B19" s="81">
        <f>B5</f>
        <v>56601</v>
      </c>
      <c r="C19" s="81">
        <f>B5</f>
        <v>56601</v>
      </c>
      <c r="E19" s="120"/>
    </row>
    <row r="20" spans="1:5" x14ac:dyDescent="0.25">
      <c r="A20" s="119" t="s">
        <v>92</v>
      </c>
      <c r="B20" s="81">
        <f>B19/36*2</f>
        <v>3144.5</v>
      </c>
      <c r="C20" s="81">
        <f>C19/36*8</f>
        <v>12578</v>
      </c>
      <c r="D20" t="s">
        <v>93</v>
      </c>
      <c r="E20" s="120"/>
    </row>
    <row r="21" spans="1:5" x14ac:dyDescent="0.25">
      <c r="A21" s="119" t="s">
        <v>85</v>
      </c>
      <c r="B21" s="114">
        <v>1.77</v>
      </c>
      <c r="C21" s="114">
        <v>1.77</v>
      </c>
      <c r="D21" t="s">
        <v>94</v>
      </c>
      <c r="E21" s="120"/>
    </row>
    <row r="22" spans="1:5" ht="15.75" thickBot="1" x14ac:dyDescent="0.3">
      <c r="A22" s="119"/>
      <c r="B22" s="115">
        <f>B20*B21</f>
        <v>5565.7650000000003</v>
      </c>
      <c r="C22" s="115">
        <f>C20*C21</f>
        <v>22263.06</v>
      </c>
      <c r="E22" s="120"/>
    </row>
    <row r="23" spans="1:5" ht="15.75" thickTop="1" x14ac:dyDescent="0.25">
      <c r="A23" s="121"/>
      <c r="B23" s="113"/>
      <c r="C23" s="113"/>
      <c r="D23" s="113"/>
      <c r="E23" s="122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4"/>
  <sheetViews>
    <sheetView showGridLines="0" zoomScale="90" zoomScaleNormal="90" zoomScalePageLayoutView="90" workbookViewId="0">
      <pane xSplit="1" ySplit="2" topLeftCell="B3" activePane="bottomRight" state="frozen"/>
      <selection activeCell="C44" sqref="C44"/>
      <selection pane="topRight" activeCell="C44" sqref="C44"/>
      <selection pane="bottomLeft" activeCell="C44" sqref="C44"/>
      <selection pane="bottomRight" activeCell="F27" sqref="F27"/>
    </sheetView>
  </sheetViews>
  <sheetFormatPr defaultColWidth="9" defaultRowHeight="15" x14ac:dyDescent="0.25"/>
  <cols>
    <col min="1" max="1" width="42.42578125" style="2" customWidth="1"/>
    <col min="2" max="2" width="14.5703125" style="2" bestFit="1" customWidth="1"/>
    <col min="3" max="3" width="11.140625" style="2" customWidth="1"/>
    <col min="4" max="4" width="14" style="2" bestFit="1" customWidth="1"/>
    <col min="5" max="5" width="18.5703125" style="2" customWidth="1"/>
    <col min="6" max="6" width="12.42578125" style="2" bestFit="1" customWidth="1"/>
    <col min="7" max="7" width="15" style="2" customWidth="1"/>
    <col min="8" max="9" width="14.5703125" style="2" bestFit="1" customWidth="1"/>
    <col min="10" max="10" width="22.5703125" style="2" customWidth="1"/>
    <col min="11" max="11" width="14.85546875" style="2" bestFit="1" customWidth="1"/>
    <col min="12" max="12" width="13.85546875" style="2" customWidth="1"/>
    <col min="13" max="15" width="15.5703125" style="2" customWidth="1"/>
    <col min="16" max="16" width="16.5703125" style="2" customWidth="1"/>
    <col min="17" max="17" width="11.5703125" style="2" bestFit="1" customWidth="1"/>
    <col min="18" max="18" width="19.140625" style="2" customWidth="1"/>
    <col min="19" max="16384" width="9" style="2"/>
  </cols>
  <sheetData>
    <row r="1" spans="1:18" ht="15.75" thickBot="1" x14ac:dyDescent="0.3">
      <c r="A1" s="1"/>
      <c r="H1" s="93" t="s">
        <v>64</v>
      </c>
      <c r="I1" s="94"/>
    </row>
    <row r="2" spans="1:18" ht="37.5" x14ac:dyDescent="0.3">
      <c r="A2" s="21" t="s">
        <v>9</v>
      </c>
      <c r="B2" s="22"/>
      <c r="C2" s="23"/>
      <c r="D2" s="15"/>
      <c r="E2" s="11"/>
      <c r="F2" s="12"/>
      <c r="G2" s="48" t="s">
        <v>34</v>
      </c>
      <c r="H2" s="11"/>
      <c r="I2" s="12"/>
      <c r="J2" s="54" t="s">
        <v>28</v>
      </c>
      <c r="K2" s="11"/>
      <c r="L2" s="12"/>
      <c r="M2" s="48" t="s">
        <v>33</v>
      </c>
      <c r="N2" s="11"/>
      <c r="O2" s="12"/>
      <c r="P2" s="48" t="s">
        <v>35</v>
      </c>
      <c r="Q2" s="11"/>
      <c r="R2" s="12"/>
    </row>
    <row r="3" spans="1:18" ht="19.5" customHeight="1" x14ac:dyDescent="0.25">
      <c r="A3" s="3"/>
      <c r="B3" s="247" t="s">
        <v>0</v>
      </c>
      <c r="C3" s="248"/>
      <c r="D3" s="16"/>
      <c r="E3" s="247" t="s">
        <v>16</v>
      </c>
      <c r="F3" s="248"/>
      <c r="G3" s="58">
        <v>42401</v>
      </c>
      <c r="H3" s="245" t="s">
        <v>39</v>
      </c>
      <c r="I3" s="246"/>
      <c r="J3" s="59">
        <v>42522</v>
      </c>
      <c r="K3" s="245" t="s">
        <v>37</v>
      </c>
      <c r="L3" s="246"/>
      <c r="M3" s="60"/>
      <c r="N3" s="245" t="s">
        <v>36</v>
      </c>
      <c r="O3" s="246"/>
      <c r="P3" s="60"/>
      <c r="Q3" s="245" t="s">
        <v>38</v>
      </c>
      <c r="R3" s="246"/>
    </row>
    <row r="4" spans="1:18" x14ac:dyDescent="0.25">
      <c r="A4" s="4" t="s">
        <v>1</v>
      </c>
      <c r="B4" s="33" t="s">
        <v>2</v>
      </c>
      <c r="C4" s="34" t="s">
        <v>3</v>
      </c>
      <c r="D4" s="16" t="s">
        <v>4</v>
      </c>
      <c r="E4" s="33" t="s">
        <v>17</v>
      </c>
      <c r="F4" s="34" t="s">
        <v>3</v>
      </c>
      <c r="G4" s="18" t="s">
        <v>18</v>
      </c>
      <c r="H4" s="33" t="s">
        <v>2</v>
      </c>
      <c r="I4" s="34" t="s">
        <v>3</v>
      </c>
      <c r="J4" s="16" t="s">
        <v>27</v>
      </c>
      <c r="K4" s="33" t="s">
        <v>2</v>
      </c>
      <c r="L4" s="34" t="s">
        <v>3</v>
      </c>
      <c r="M4" s="18" t="s">
        <v>18</v>
      </c>
      <c r="N4" s="33" t="s">
        <v>2</v>
      </c>
      <c r="O4" s="34" t="s">
        <v>3</v>
      </c>
      <c r="P4" s="18"/>
      <c r="Q4" s="33" t="s">
        <v>2</v>
      </c>
      <c r="R4" s="34" t="s">
        <v>3</v>
      </c>
    </row>
    <row r="5" spans="1:18" x14ac:dyDescent="0.25">
      <c r="A5" s="5" t="s">
        <v>5</v>
      </c>
      <c r="B5" s="13">
        <v>658000</v>
      </c>
      <c r="C5" s="14">
        <f t="shared" ref="C5:C10" si="0">B5/$B$18</f>
        <v>0.65800000000000003</v>
      </c>
      <c r="D5" s="17"/>
      <c r="E5" s="13">
        <f t="shared" ref="E5:E14" si="1">B5+D5</f>
        <v>658000</v>
      </c>
      <c r="F5" s="14">
        <f t="shared" ref="F5:F14" si="2">E5/$E$18</f>
        <v>0.58126027474706787</v>
      </c>
      <c r="G5" s="19"/>
      <c r="H5" s="13">
        <f>E5+G5</f>
        <v>658000</v>
      </c>
      <c r="I5" s="14">
        <f t="shared" ref="I5:I14" si="3">H5/$H$18</f>
        <v>0.50544371717136338</v>
      </c>
      <c r="J5" s="17"/>
      <c r="K5" s="13">
        <f>H5+J5</f>
        <v>658000</v>
      </c>
      <c r="L5" s="14" t="e">
        <f t="shared" ref="L5:L17" si="4">K5/$K$18</f>
        <v>#REF!</v>
      </c>
      <c r="M5" s="13"/>
      <c r="N5" s="13">
        <f>K5+M5</f>
        <v>658000</v>
      </c>
      <c r="O5" s="14" t="e">
        <f t="shared" ref="O5:O17" si="5">N5/$N$18</f>
        <v>#REF!</v>
      </c>
      <c r="P5" s="13"/>
      <c r="Q5" s="13">
        <f>N5+P5</f>
        <v>658000</v>
      </c>
      <c r="R5" s="14" t="e">
        <f t="shared" ref="R5:R17" si="6">Q5/$Q$18</f>
        <v>#REF!</v>
      </c>
    </row>
    <row r="6" spans="1:18" x14ac:dyDescent="0.25">
      <c r="A6" s="5" t="s">
        <v>10</v>
      </c>
      <c r="B6" s="13">
        <v>219000</v>
      </c>
      <c r="C6" s="14">
        <f t="shared" si="0"/>
        <v>0.219</v>
      </c>
      <c r="D6" s="17"/>
      <c r="E6" s="13">
        <f>B6+D6</f>
        <v>219000</v>
      </c>
      <c r="F6" s="14">
        <f t="shared" si="2"/>
        <v>0.19345896682311226</v>
      </c>
      <c r="G6" s="19"/>
      <c r="H6" s="13">
        <f>E6+G6</f>
        <v>219000</v>
      </c>
      <c r="I6" s="14">
        <f t="shared" si="3"/>
        <v>0.16822518854183674</v>
      </c>
      <c r="J6" s="17" t="e">
        <f>#REF!</f>
        <v>#REF!</v>
      </c>
      <c r="K6" s="13" t="e">
        <f>H6+J6</f>
        <v>#REF!</v>
      </c>
      <c r="L6" s="14" t="e">
        <f t="shared" si="4"/>
        <v>#REF!</v>
      </c>
      <c r="M6" s="13"/>
      <c r="N6" s="13" t="e">
        <f>K6+M6</f>
        <v>#REF!</v>
      </c>
      <c r="O6" s="14" t="e">
        <f t="shared" si="5"/>
        <v>#REF!</v>
      </c>
      <c r="P6" s="13"/>
      <c r="Q6" s="13" t="e">
        <f>N6+P6</f>
        <v>#REF!</v>
      </c>
      <c r="R6" s="14" t="e">
        <f t="shared" si="6"/>
        <v>#REF!</v>
      </c>
    </row>
    <row r="7" spans="1:18" x14ac:dyDescent="0.25">
      <c r="A7" s="5" t="s">
        <v>52</v>
      </c>
      <c r="B7" s="13"/>
      <c r="C7" s="14">
        <f t="shared" si="0"/>
        <v>0</v>
      </c>
      <c r="D7" s="17"/>
      <c r="E7" s="13">
        <f t="shared" si="1"/>
        <v>0</v>
      </c>
      <c r="F7" s="14">
        <f t="shared" si="2"/>
        <v>0</v>
      </c>
      <c r="G7" s="31">
        <f>100000/G25</f>
        <v>56601.149999999994</v>
      </c>
      <c r="H7" s="13">
        <f t="shared" ref="H7:H17" si="7">E7+G7</f>
        <v>56601.149999999994</v>
      </c>
      <c r="I7" s="14">
        <f t="shared" si="3"/>
        <v>4.3478260869565216E-2</v>
      </c>
      <c r="J7" s="17" t="e">
        <f>#REF!</f>
        <v>#REF!</v>
      </c>
      <c r="K7" s="13" t="e">
        <f t="shared" ref="K7:K17" si="8">H7+J7</f>
        <v>#REF!</v>
      </c>
      <c r="L7" s="14" t="e">
        <f t="shared" si="4"/>
        <v>#REF!</v>
      </c>
      <c r="M7" s="13" t="e">
        <f>J33/M25</f>
        <v>#REF!</v>
      </c>
      <c r="N7" s="13" t="e">
        <f t="shared" ref="N7:N17" si="9">K7+M7</f>
        <v>#REF!</v>
      </c>
      <c r="O7" s="14" t="e">
        <f t="shared" si="5"/>
        <v>#REF!</v>
      </c>
      <c r="P7" s="13"/>
      <c r="Q7" s="13" t="e">
        <f t="shared" ref="Q7:Q17" si="10">N7+P7</f>
        <v>#REF!</v>
      </c>
      <c r="R7" s="14" t="e">
        <f t="shared" si="6"/>
        <v>#REF!</v>
      </c>
    </row>
    <row r="8" spans="1:18" x14ac:dyDescent="0.25">
      <c r="A8" s="5" t="s">
        <v>11</v>
      </c>
      <c r="B8" s="13">
        <v>97000</v>
      </c>
      <c r="C8" s="14">
        <f t="shared" si="0"/>
        <v>9.7000000000000003E-2</v>
      </c>
      <c r="D8" s="17"/>
      <c r="E8" s="13">
        <f t="shared" si="1"/>
        <v>97000</v>
      </c>
      <c r="F8" s="14">
        <f t="shared" si="2"/>
        <v>8.5687304939917303E-2</v>
      </c>
      <c r="G8" s="19"/>
      <c r="H8" s="13">
        <f t="shared" si="7"/>
        <v>97000</v>
      </c>
      <c r="I8" s="14">
        <f t="shared" si="3"/>
        <v>7.451069994775418E-2</v>
      </c>
      <c r="J8" s="17" t="e">
        <f>#REF!</f>
        <v>#REF!</v>
      </c>
      <c r="K8" s="13" t="e">
        <f t="shared" si="8"/>
        <v>#REF!</v>
      </c>
      <c r="L8" s="14" t="e">
        <f t="shared" si="4"/>
        <v>#REF!</v>
      </c>
      <c r="M8" s="13"/>
      <c r="N8" s="13" t="e">
        <f t="shared" si="9"/>
        <v>#REF!</v>
      </c>
      <c r="O8" s="14" t="e">
        <f t="shared" si="5"/>
        <v>#REF!</v>
      </c>
      <c r="P8" s="13"/>
      <c r="Q8" s="13" t="e">
        <f t="shared" si="10"/>
        <v>#REF!</v>
      </c>
      <c r="R8" s="14" t="e">
        <f t="shared" si="6"/>
        <v>#REF!</v>
      </c>
    </row>
    <row r="9" spans="1:18" x14ac:dyDescent="0.25">
      <c r="A9" s="97" t="s">
        <v>12</v>
      </c>
      <c r="B9" s="98">
        <v>6000</v>
      </c>
      <c r="C9" s="99">
        <f t="shared" si="0"/>
        <v>6.0000000000000001E-3</v>
      </c>
      <c r="D9" s="100">
        <v>56601</v>
      </c>
      <c r="E9" s="98">
        <f t="shared" si="1"/>
        <v>62601</v>
      </c>
      <c r="F9" s="99">
        <f t="shared" si="2"/>
        <v>5.5300113160244975E-2</v>
      </c>
      <c r="G9" s="101"/>
      <c r="H9" s="98">
        <f t="shared" si="7"/>
        <v>62601</v>
      </c>
      <c r="I9" s="99">
        <f t="shared" si="3"/>
        <v>4.8087054921952158E-2</v>
      </c>
      <c r="J9" s="100" t="e">
        <f>#REF!</f>
        <v>#REF!</v>
      </c>
      <c r="K9" s="98" t="e">
        <f t="shared" si="8"/>
        <v>#REF!</v>
      </c>
      <c r="L9" s="99" t="e">
        <f t="shared" si="4"/>
        <v>#REF!</v>
      </c>
      <c r="M9" s="98"/>
      <c r="N9" s="98" t="e">
        <f t="shared" si="9"/>
        <v>#REF!</v>
      </c>
      <c r="O9" s="99" t="e">
        <f t="shared" si="5"/>
        <v>#REF!</v>
      </c>
      <c r="P9" s="98"/>
      <c r="Q9" s="98" t="e">
        <f t="shared" si="10"/>
        <v>#REF!</v>
      </c>
      <c r="R9" s="99" t="e">
        <f t="shared" si="6"/>
        <v>#REF!</v>
      </c>
    </row>
    <row r="10" spans="1:18" x14ac:dyDescent="0.25">
      <c r="A10" s="6" t="s">
        <v>6</v>
      </c>
      <c r="B10" s="13">
        <v>20000</v>
      </c>
      <c r="C10" s="14">
        <f t="shared" si="0"/>
        <v>0.02</v>
      </c>
      <c r="D10" s="17"/>
      <c r="E10" s="13">
        <f t="shared" si="1"/>
        <v>20000</v>
      </c>
      <c r="F10" s="14">
        <f t="shared" si="2"/>
        <v>1.7667485554622123E-2</v>
      </c>
      <c r="G10" s="19"/>
      <c r="H10" s="13">
        <f t="shared" si="7"/>
        <v>20000</v>
      </c>
      <c r="I10" s="14">
        <f t="shared" si="3"/>
        <v>1.5363030917062717E-2</v>
      </c>
      <c r="J10" s="17"/>
      <c r="K10" s="13">
        <f t="shared" si="8"/>
        <v>20000</v>
      </c>
      <c r="L10" s="14" t="e">
        <f t="shared" si="4"/>
        <v>#REF!</v>
      </c>
      <c r="M10" s="13"/>
      <c r="N10" s="13">
        <f t="shared" si="9"/>
        <v>20000</v>
      </c>
      <c r="O10" s="14" t="e">
        <f t="shared" si="5"/>
        <v>#REF!</v>
      </c>
      <c r="P10" s="13"/>
      <c r="Q10" s="13">
        <f t="shared" si="10"/>
        <v>20000</v>
      </c>
      <c r="R10" s="14" t="e">
        <f t="shared" si="6"/>
        <v>#REF!</v>
      </c>
    </row>
    <row r="11" spans="1:18" x14ac:dyDescent="0.25">
      <c r="A11" s="6" t="s">
        <v>13</v>
      </c>
      <c r="B11" s="13"/>
      <c r="C11" s="14"/>
      <c r="D11" s="17">
        <v>47121</v>
      </c>
      <c r="E11" s="13">
        <f t="shared" si="1"/>
        <v>47121</v>
      </c>
      <c r="F11" s="14">
        <f t="shared" si="2"/>
        <v>4.1625479340967456E-2</v>
      </c>
      <c r="G11" s="19"/>
      <c r="H11" s="13">
        <f t="shared" si="7"/>
        <v>47121</v>
      </c>
      <c r="I11" s="14">
        <f t="shared" si="3"/>
        <v>3.6196068992145614E-2</v>
      </c>
      <c r="J11" s="17" t="e">
        <f>#REF!</f>
        <v>#REF!</v>
      </c>
      <c r="K11" s="13" t="e">
        <f t="shared" si="8"/>
        <v>#REF!</v>
      </c>
      <c r="L11" s="14" t="e">
        <f t="shared" si="4"/>
        <v>#REF!</v>
      </c>
      <c r="M11" s="13"/>
      <c r="N11" s="13" t="e">
        <f t="shared" si="9"/>
        <v>#REF!</v>
      </c>
      <c r="O11" s="14" t="e">
        <f t="shared" si="5"/>
        <v>#REF!</v>
      </c>
      <c r="P11" s="13"/>
      <c r="Q11" s="13" t="e">
        <f t="shared" si="10"/>
        <v>#REF!</v>
      </c>
      <c r="R11" s="14" t="e">
        <f t="shared" si="6"/>
        <v>#REF!</v>
      </c>
    </row>
    <row r="12" spans="1:18" x14ac:dyDescent="0.25">
      <c r="A12" s="6" t="s">
        <v>14</v>
      </c>
      <c r="B12" s="13"/>
      <c r="C12" s="14"/>
      <c r="D12" s="17">
        <f>SUM('Stock Options'!C10:C14)</f>
        <v>10696</v>
      </c>
      <c r="E12" s="13">
        <f t="shared" si="1"/>
        <v>10696</v>
      </c>
      <c r="F12" s="14">
        <f t="shared" si="2"/>
        <v>9.4485712746119124E-3</v>
      </c>
      <c r="G12" s="19"/>
      <c r="H12" s="13">
        <f t="shared" si="7"/>
        <v>10696</v>
      </c>
      <c r="I12" s="14">
        <f t="shared" si="3"/>
        <v>8.2161489344451406E-3</v>
      </c>
      <c r="J12" s="17"/>
      <c r="K12" s="13">
        <f t="shared" si="8"/>
        <v>10696</v>
      </c>
      <c r="L12" s="14" t="e">
        <f t="shared" si="4"/>
        <v>#REF!</v>
      </c>
      <c r="M12" s="13"/>
      <c r="N12" s="13">
        <f t="shared" si="9"/>
        <v>10696</v>
      </c>
      <c r="O12" s="14" t="e">
        <f t="shared" si="5"/>
        <v>#REF!</v>
      </c>
      <c r="P12" s="13"/>
      <c r="Q12" s="13">
        <f t="shared" si="10"/>
        <v>10696</v>
      </c>
      <c r="R12" s="14" t="e">
        <f t="shared" si="6"/>
        <v>#REF!</v>
      </c>
    </row>
    <row r="13" spans="1:18" x14ac:dyDescent="0.25">
      <c r="A13" s="6" t="s">
        <v>49</v>
      </c>
      <c r="B13" s="13"/>
      <c r="C13" s="14"/>
      <c r="D13" s="17">
        <f>28301-D12</f>
        <v>17605</v>
      </c>
      <c r="E13" s="13">
        <f t="shared" si="1"/>
        <v>17605</v>
      </c>
      <c r="F13" s="14">
        <f t="shared" si="2"/>
        <v>1.5551804159456124E-2</v>
      </c>
      <c r="G13" s="83"/>
      <c r="H13" s="13">
        <f t="shared" si="7"/>
        <v>17605</v>
      </c>
      <c r="I13" s="14">
        <f t="shared" si="3"/>
        <v>1.3523307964744456E-2</v>
      </c>
      <c r="J13" s="17">
        <v>11421</v>
      </c>
      <c r="K13" s="13">
        <f t="shared" si="8"/>
        <v>29026</v>
      </c>
      <c r="L13" s="14" t="e">
        <f t="shared" si="4"/>
        <v>#REF!</v>
      </c>
      <c r="M13" s="13"/>
      <c r="N13" s="13">
        <f t="shared" si="9"/>
        <v>29026</v>
      </c>
      <c r="O13" s="14" t="e">
        <f t="shared" si="5"/>
        <v>#REF!</v>
      </c>
      <c r="P13" s="13"/>
      <c r="Q13" s="13">
        <f t="shared" si="10"/>
        <v>29026</v>
      </c>
      <c r="R13" s="14" t="e">
        <f t="shared" si="6"/>
        <v>#REF!</v>
      </c>
    </row>
    <row r="14" spans="1:18" x14ac:dyDescent="0.25">
      <c r="A14" s="6" t="s">
        <v>15</v>
      </c>
      <c r="B14" s="13"/>
      <c r="C14" s="14"/>
      <c r="D14" s="17"/>
      <c r="E14" s="13">
        <f t="shared" si="1"/>
        <v>0</v>
      </c>
      <c r="F14" s="14">
        <f t="shared" si="2"/>
        <v>0</v>
      </c>
      <c r="G14" s="31">
        <f>200000/G25</f>
        <v>113202.29999999999</v>
      </c>
      <c r="H14" s="13">
        <f t="shared" si="7"/>
        <v>113202.29999999999</v>
      </c>
      <c r="I14" s="14">
        <f t="shared" si="3"/>
        <v>8.6956521739130432E-2</v>
      </c>
      <c r="J14" s="17"/>
      <c r="K14" s="13">
        <f t="shared" si="8"/>
        <v>113202.29999999999</v>
      </c>
      <c r="L14" s="14" t="e">
        <f t="shared" si="4"/>
        <v>#REF!</v>
      </c>
      <c r="M14" s="13" t="e">
        <f>J34/M25</f>
        <v>#REF!</v>
      </c>
      <c r="N14" s="13" t="e">
        <f t="shared" si="9"/>
        <v>#REF!</v>
      </c>
      <c r="O14" s="14" t="e">
        <f t="shared" si="5"/>
        <v>#REF!</v>
      </c>
      <c r="P14" s="13"/>
      <c r="Q14" s="13" t="e">
        <f t="shared" si="10"/>
        <v>#REF!</v>
      </c>
      <c r="R14" s="14" t="e">
        <f t="shared" si="6"/>
        <v>#REF!</v>
      </c>
    </row>
    <row r="15" spans="1:18" x14ac:dyDescent="0.25">
      <c r="A15" s="6" t="s">
        <v>32</v>
      </c>
      <c r="B15" s="13"/>
      <c r="C15" s="14"/>
      <c r="D15" s="17"/>
      <c r="E15" s="13"/>
      <c r="F15" s="14"/>
      <c r="G15" s="19"/>
      <c r="H15" s="13">
        <f t="shared" si="7"/>
        <v>0</v>
      </c>
      <c r="I15" s="14"/>
      <c r="J15" s="17"/>
      <c r="K15" s="13">
        <f t="shared" si="8"/>
        <v>0</v>
      </c>
      <c r="L15" s="14" t="e">
        <f t="shared" si="4"/>
        <v>#REF!</v>
      </c>
      <c r="M15" s="13"/>
      <c r="N15" s="13">
        <f t="shared" si="9"/>
        <v>0</v>
      </c>
      <c r="O15" s="14" t="e">
        <f t="shared" si="5"/>
        <v>#REF!</v>
      </c>
      <c r="P15" s="13" t="e">
        <f>P20/P25</f>
        <v>#REF!</v>
      </c>
      <c r="Q15" s="13" t="e">
        <f t="shared" si="10"/>
        <v>#REF!</v>
      </c>
      <c r="R15" s="14" t="e">
        <f t="shared" si="6"/>
        <v>#REF!</v>
      </c>
    </row>
    <row r="16" spans="1:18" x14ac:dyDescent="0.25">
      <c r="A16" s="6" t="s">
        <v>22</v>
      </c>
      <c r="B16" s="28"/>
      <c r="C16" s="29"/>
      <c r="D16" s="30"/>
      <c r="E16" s="28"/>
      <c r="F16" s="29"/>
      <c r="G16" s="31"/>
      <c r="H16" s="13">
        <f t="shared" si="7"/>
        <v>0</v>
      </c>
      <c r="I16" s="29"/>
      <c r="J16" s="30"/>
      <c r="K16" s="13">
        <f t="shared" si="8"/>
        <v>0</v>
      </c>
      <c r="L16" s="14" t="e">
        <f t="shared" si="4"/>
        <v>#REF!</v>
      </c>
      <c r="M16" s="13" t="e">
        <f>J35/M25</f>
        <v>#REF!</v>
      </c>
      <c r="N16" s="13" t="e">
        <f t="shared" si="9"/>
        <v>#REF!</v>
      </c>
      <c r="O16" s="14" t="e">
        <f t="shared" si="5"/>
        <v>#REF!</v>
      </c>
      <c r="P16" s="13"/>
      <c r="Q16" s="13" t="e">
        <f t="shared" si="10"/>
        <v>#REF!</v>
      </c>
      <c r="R16" s="14" t="e">
        <f t="shared" si="6"/>
        <v>#REF!</v>
      </c>
    </row>
    <row r="17" spans="1:18" ht="15.75" thickBot="1" x14ac:dyDescent="0.3">
      <c r="A17" s="20"/>
      <c r="B17" s="69"/>
      <c r="C17" s="70"/>
      <c r="D17" s="71"/>
      <c r="E17" s="69"/>
      <c r="F17" s="70"/>
      <c r="G17" s="72"/>
      <c r="H17" s="69">
        <f t="shared" si="7"/>
        <v>0</v>
      </c>
      <c r="I17" s="70"/>
      <c r="J17" s="71"/>
      <c r="K17" s="69">
        <f t="shared" si="8"/>
        <v>0</v>
      </c>
      <c r="L17" s="70" t="e">
        <f t="shared" si="4"/>
        <v>#REF!</v>
      </c>
      <c r="M17" s="69"/>
      <c r="N17" s="69">
        <f t="shared" si="9"/>
        <v>0</v>
      </c>
      <c r="O17" s="70" t="e">
        <f t="shared" si="5"/>
        <v>#REF!</v>
      </c>
      <c r="P17" s="69"/>
      <c r="Q17" s="69">
        <f t="shared" si="10"/>
        <v>0</v>
      </c>
      <c r="R17" s="70" t="e">
        <f t="shared" si="6"/>
        <v>#REF!</v>
      </c>
    </row>
    <row r="18" spans="1:18" ht="15.75" thickBot="1" x14ac:dyDescent="0.3">
      <c r="A18" s="4" t="s">
        <v>7</v>
      </c>
      <c r="B18" s="67">
        <f t="shared" ref="B18:G18" si="11">SUM(B5:B14)</f>
        <v>1000000</v>
      </c>
      <c r="C18" s="68">
        <f t="shared" si="11"/>
        <v>1</v>
      </c>
      <c r="D18" s="63">
        <f t="shared" si="11"/>
        <v>132023</v>
      </c>
      <c r="E18" s="67">
        <f t="shared" si="11"/>
        <v>1132023</v>
      </c>
      <c r="F18" s="68">
        <f t="shared" si="11"/>
        <v>1.0000000000000002</v>
      </c>
      <c r="G18" s="63">
        <f t="shared" si="11"/>
        <v>169803.44999999998</v>
      </c>
      <c r="H18" s="67">
        <f>SUM(H5:H17)</f>
        <v>1301826.45</v>
      </c>
      <c r="I18" s="68">
        <f>SUM(I5:I17)</f>
        <v>1</v>
      </c>
      <c r="J18" s="63" t="e">
        <f>SUM(J5:J14)</f>
        <v>#REF!</v>
      </c>
      <c r="K18" s="63" t="e">
        <f t="shared" ref="K18:R18" si="12">SUM(K5:K17)</f>
        <v>#REF!</v>
      </c>
      <c r="L18" s="68" t="e">
        <f t="shared" si="12"/>
        <v>#REF!</v>
      </c>
      <c r="M18" s="63" t="e">
        <f t="shared" si="12"/>
        <v>#REF!</v>
      </c>
      <c r="N18" s="63" t="e">
        <f t="shared" si="12"/>
        <v>#REF!</v>
      </c>
      <c r="O18" s="68" t="e">
        <f t="shared" si="12"/>
        <v>#REF!</v>
      </c>
      <c r="P18" s="63" t="e">
        <f t="shared" si="12"/>
        <v>#REF!</v>
      </c>
      <c r="Q18" s="63" t="e">
        <f t="shared" si="12"/>
        <v>#REF!</v>
      </c>
      <c r="R18" s="68" t="e">
        <f t="shared" si="12"/>
        <v>#REF!</v>
      </c>
    </row>
    <row r="19" spans="1:18" ht="15.75" thickBot="1" x14ac:dyDescent="0.3">
      <c r="A19" s="7"/>
      <c r="B19" s="8"/>
      <c r="C19" s="9"/>
      <c r="D19" s="8"/>
      <c r="E19" s="8"/>
      <c r="F19" s="9"/>
      <c r="G19" s="8"/>
      <c r="H19" s="8"/>
      <c r="I19" s="9"/>
      <c r="J19" s="8"/>
      <c r="K19" s="8"/>
      <c r="L19" s="9"/>
      <c r="M19" s="8"/>
      <c r="N19" s="8"/>
      <c r="O19" s="8"/>
    </row>
    <row r="20" spans="1:18" x14ac:dyDescent="0.25">
      <c r="A20" s="35" t="s">
        <v>18</v>
      </c>
      <c r="B20" s="41"/>
      <c r="C20" s="42"/>
      <c r="D20" s="41">
        <f>D18-D9+12580</f>
        <v>88002</v>
      </c>
      <c r="E20" s="41"/>
      <c r="F20" s="42"/>
      <c r="G20" s="55">
        <v>300000</v>
      </c>
      <c r="H20" s="41"/>
      <c r="I20" s="42"/>
      <c r="J20" s="55"/>
      <c r="K20" s="41"/>
      <c r="L20" s="43"/>
      <c r="M20" s="62">
        <v>1000000</v>
      </c>
      <c r="N20" s="64"/>
      <c r="O20" s="64"/>
      <c r="P20" s="73">
        <v>2500000</v>
      </c>
    </row>
    <row r="21" spans="1:18" ht="15.75" thickBot="1" x14ac:dyDescent="0.3">
      <c r="A21" s="44" t="s">
        <v>25</v>
      </c>
      <c r="B21" s="45"/>
      <c r="C21" s="46"/>
      <c r="D21" s="45"/>
      <c r="E21" s="45"/>
      <c r="F21" s="46"/>
      <c r="G21" s="45"/>
      <c r="H21" s="45"/>
      <c r="I21" s="46"/>
      <c r="J21" s="45"/>
      <c r="K21" s="45"/>
      <c r="L21" s="47"/>
      <c r="M21" s="63"/>
      <c r="N21" s="8"/>
      <c r="O21" s="8"/>
      <c r="P21" s="63"/>
    </row>
    <row r="22" spans="1:18" x14ac:dyDescent="0.25">
      <c r="A22" s="7"/>
      <c r="B22" s="8"/>
      <c r="C22" s="9"/>
      <c r="D22" s="8"/>
      <c r="E22" s="8"/>
      <c r="F22" s="9"/>
      <c r="G22" s="8"/>
      <c r="H22" s="8"/>
      <c r="I22" s="9"/>
      <c r="J22" s="8"/>
      <c r="K22" s="8"/>
      <c r="L22" s="9"/>
      <c r="M22" s="8"/>
      <c r="N22" s="8"/>
      <c r="O22" s="8"/>
    </row>
    <row r="23" spans="1:18" ht="15.75" thickBot="1" x14ac:dyDescent="0.3">
      <c r="A23" s="7" t="s">
        <v>21</v>
      </c>
      <c r="B23" s="8"/>
      <c r="C23" s="9"/>
      <c r="D23" s="8"/>
      <c r="E23" s="8"/>
      <c r="F23" s="9"/>
      <c r="J23" s="8"/>
      <c r="K23" s="92" t="e">
        <f>J18/K18</f>
        <v>#REF!</v>
      </c>
    </row>
    <row r="24" spans="1:18" x14ac:dyDescent="0.25">
      <c r="A24" s="4" t="s">
        <v>8</v>
      </c>
      <c r="C24" s="9"/>
      <c r="D24" s="8">
        <f>D18+J20</f>
        <v>132023</v>
      </c>
      <c r="G24" s="24">
        <v>2000000</v>
      </c>
      <c r="J24" s="41" t="e">
        <f>D20+J18</f>
        <v>#REF!</v>
      </c>
      <c r="M24" s="61">
        <v>5000000</v>
      </c>
      <c r="N24" s="65"/>
      <c r="O24" s="65"/>
      <c r="P24" s="61">
        <v>10000000</v>
      </c>
    </row>
    <row r="25" spans="1:18" ht="15.75" thickBot="1" x14ac:dyDescent="0.3">
      <c r="A25" s="4" t="s">
        <v>19</v>
      </c>
      <c r="C25" s="9"/>
      <c r="D25" s="25"/>
      <c r="G25" s="27">
        <f>G24/E18</f>
        <v>1.7667485554622124</v>
      </c>
      <c r="J25" s="66"/>
      <c r="M25" s="27" t="e">
        <f>M24/K18</f>
        <v>#REF!</v>
      </c>
      <c r="N25" s="66"/>
      <c r="O25" s="66"/>
      <c r="P25" s="27" t="e">
        <f>P24/N18</f>
        <v>#REF!</v>
      </c>
    </row>
    <row r="26" spans="1:18" ht="15.75" thickBot="1" x14ac:dyDescent="0.3">
      <c r="A26" s="10"/>
      <c r="D26" s="38"/>
      <c r="J26" s="38" t="e">
        <f>D18+J18</f>
        <v>#REF!</v>
      </c>
    </row>
    <row r="27" spans="1:18" ht="15.75" thickBot="1" x14ac:dyDescent="0.3">
      <c r="A27" s="35" t="s">
        <v>23</v>
      </c>
      <c r="B27" s="51"/>
      <c r="C27" s="9"/>
      <c r="D27" s="2">
        <v>6000</v>
      </c>
      <c r="E27" s="25"/>
      <c r="F27" s="9"/>
      <c r="G27" s="8"/>
      <c r="H27" s="9"/>
      <c r="J27" s="112" t="e">
        <f>200000-J26</f>
        <v>#REF!</v>
      </c>
    </row>
    <row r="28" spans="1:18" x14ac:dyDescent="0.25">
      <c r="A28" s="36" t="s">
        <v>20</v>
      </c>
      <c r="B28" s="39">
        <v>5000000</v>
      </c>
      <c r="D28" s="2">
        <f>D9/48*8</f>
        <v>9433.5</v>
      </c>
      <c r="G28" s="25"/>
      <c r="H28" s="9"/>
      <c r="J28" s="56"/>
      <c r="M28" s="26"/>
      <c r="N28" s="26"/>
      <c r="O28" s="26"/>
    </row>
    <row r="29" spans="1:18" x14ac:dyDescent="0.25">
      <c r="A29" s="36" t="s">
        <v>24</v>
      </c>
      <c r="B29" s="50">
        <v>1000000</v>
      </c>
      <c r="D29" s="2">
        <v>2500</v>
      </c>
      <c r="G29" s="40"/>
      <c r="H29" s="9"/>
      <c r="I29" s="32"/>
    </row>
    <row r="30" spans="1:18" ht="15.75" thickBot="1" x14ac:dyDescent="0.3">
      <c r="A30" s="37" t="s">
        <v>19</v>
      </c>
      <c r="B30" s="27">
        <f>B28/H18</f>
        <v>3.8407577292656789</v>
      </c>
      <c r="H30" s="8"/>
    </row>
    <row r="31" spans="1:18" x14ac:dyDescent="0.25">
      <c r="D31" s="49">
        <v>60000</v>
      </c>
    </row>
    <row r="32" spans="1:18" x14ac:dyDescent="0.25">
      <c r="A32" s="52" t="s">
        <v>29</v>
      </c>
      <c r="G32" s="25"/>
      <c r="H32" s="9"/>
    </row>
    <row r="33" spans="1:10" x14ac:dyDescent="0.25">
      <c r="A33" t="s">
        <v>26</v>
      </c>
      <c r="D33" s="2" t="s">
        <v>59</v>
      </c>
      <c r="J33" s="57">
        <v>100000</v>
      </c>
    </row>
    <row r="34" spans="1:10" x14ac:dyDescent="0.25">
      <c r="A34" t="s">
        <v>30</v>
      </c>
      <c r="D34" s="2" t="s">
        <v>65</v>
      </c>
      <c r="J34" s="57">
        <v>200000</v>
      </c>
    </row>
    <row r="35" spans="1:10" x14ac:dyDescent="0.25">
      <c r="A35" t="s">
        <v>31</v>
      </c>
      <c r="D35" s="2" t="s">
        <v>66</v>
      </c>
      <c r="J35" s="57">
        <v>700000</v>
      </c>
    </row>
    <row r="36" spans="1:10" x14ac:dyDescent="0.25">
      <c r="A36"/>
      <c r="D36" s="2" t="s">
        <v>67</v>
      </c>
      <c r="J36" s="49"/>
    </row>
    <row r="37" spans="1:10" x14ac:dyDescent="0.25">
      <c r="A37"/>
      <c r="D37" s="2" t="s">
        <v>68</v>
      </c>
      <c r="J37" s="53"/>
    </row>
    <row r="38" spans="1:10" x14ac:dyDescent="0.25">
      <c r="D38" s="2" t="s">
        <v>69</v>
      </c>
      <c r="J38" s="57">
        <f>SUM(J33:J37)</f>
        <v>1000000</v>
      </c>
    </row>
    <row r="39" spans="1:10" x14ac:dyDescent="0.25">
      <c r="D39" s="2" t="s">
        <v>70</v>
      </c>
    </row>
    <row r="40" spans="1:10" x14ac:dyDescent="0.25">
      <c r="D40" s="2" t="s">
        <v>72</v>
      </c>
    </row>
    <row r="41" spans="1:10" x14ac:dyDescent="0.25">
      <c r="D41" s="2" t="s">
        <v>71</v>
      </c>
    </row>
    <row r="42" spans="1:10" x14ac:dyDescent="0.25">
      <c r="A42" s="2" t="s">
        <v>63</v>
      </c>
      <c r="B42" s="2">
        <v>2608</v>
      </c>
      <c r="D42" s="2" t="s">
        <v>73</v>
      </c>
    </row>
    <row r="43" spans="1:10" x14ac:dyDescent="0.25">
      <c r="D43" s="2" t="s">
        <v>74</v>
      </c>
    </row>
    <row r="44" spans="1:10" x14ac:dyDescent="0.25">
      <c r="D44" s="2" t="s">
        <v>75</v>
      </c>
    </row>
  </sheetData>
  <mergeCells count="6">
    <mergeCell ref="Q3:R3"/>
    <mergeCell ref="B3:C3"/>
    <mergeCell ref="E3:F3"/>
    <mergeCell ref="H3:I3"/>
    <mergeCell ref="K3:L3"/>
    <mergeCell ref="N3:O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9"/>
  <sheetViews>
    <sheetView showGridLines="0" workbookViewId="0">
      <selection activeCell="D8" sqref="D8"/>
    </sheetView>
  </sheetViews>
  <sheetFormatPr defaultColWidth="8.85546875" defaultRowHeight="15" x14ac:dyDescent="0.25"/>
  <cols>
    <col min="1" max="1" width="47.85546875" customWidth="1"/>
    <col min="2" max="2" width="16.85546875" customWidth="1"/>
    <col min="3" max="3" width="13.5703125" customWidth="1"/>
    <col min="4" max="4" width="14" customWidth="1"/>
    <col min="5" max="5" width="26.140625" customWidth="1"/>
  </cols>
  <sheetData>
    <row r="1" spans="1:7" x14ac:dyDescent="0.25">
      <c r="D1" t="s">
        <v>50</v>
      </c>
      <c r="E1" t="s">
        <v>95</v>
      </c>
      <c r="G1" t="s">
        <v>88</v>
      </c>
    </row>
    <row r="2" spans="1:7" x14ac:dyDescent="0.25">
      <c r="A2" s="74"/>
      <c r="C2" s="75" t="s">
        <v>40</v>
      </c>
      <c r="D2" t="s">
        <v>48</v>
      </c>
      <c r="F2" s="81"/>
    </row>
    <row r="3" spans="1:7" x14ac:dyDescent="0.25">
      <c r="A3" s="74"/>
      <c r="C3" s="75"/>
      <c r="F3" s="81"/>
    </row>
    <row r="4" spans="1:7" x14ac:dyDescent="0.25">
      <c r="A4" s="74" t="s">
        <v>52</v>
      </c>
      <c r="B4" s="79" t="s">
        <v>43</v>
      </c>
      <c r="C4" s="81"/>
      <c r="D4" s="81" t="e">
        <f>#REF!</f>
        <v>#REF!</v>
      </c>
      <c r="F4" s="81"/>
    </row>
    <row r="5" spans="1:7" x14ac:dyDescent="0.25">
      <c r="A5" s="74" t="s">
        <v>10</v>
      </c>
      <c r="B5" s="79" t="s">
        <v>43</v>
      </c>
      <c r="C5" s="81"/>
      <c r="D5" s="81" t="e">
        <f>#REF!</f>
        <v>#REF!</v>
      </c>
      <c r="F5" s="81"/>
    </row>
    <row r="6" spans="1:7" x14ac:dyDescent="0.25">
      <c r="A6" s="74" t="s">
        <v>53</v>
      </c>
      <c r="B6" s="79" t="s">
        <v>43</v>
      </c>
      <c r="C6" s="81">
        <f>'Cap Table'!D11</f>
        <v>47121</v>
      </c>
      <c r="D6" s="81" t="e">
        <f>#REF!</f>
        <v>#REF!</v>
      </c>
      <c r="G6">
        <f>C6/4</f>
        <v>11780.25</v>
      </c>
    </row>
    <row r="7" spans="1:7" x14ac:dyDescent="0.25">
      <c r="A7" s="74" t="s">
        <v>11</v>
      </c>
      <c r="B7" s="79" t="s">
        <v>43</v>
      </c>
      <c r="C7" s="81"/>
      <c r="D7" s="81" t="e">
        <f>#REF!</f>
        <v>#REF!</v>
      </c>
      <c r="F7" s="81"/>
    </row>
    <row r="8" spans="1:7" x14ac:dyDescent="0.25">
      <c r="A8" s="74" t="s">
        <v>54</v>
      </c>
      <c r="B8" s="79" t="s">
        <v>43</v>
      </c>
      <c r="C8" s="81">
        <f>'Cap Table'!D9</f>
        <v>56601</v>
      </c>
      <c r="D8" s="81" t="e">
        <f>#REF!</f>
        <v>#REF!</v>
      </c>
      <c r="F8" s="81"/>
    </row>
    <row r="9" spans="1:7" x14ac:dyDescent="0.25">
      <c r="A9" s="74" t="s">
        <v>45</v>
      </c>
      <c r="B9" s="79" t="s">
        <v>43</v>
      </c>
      <c r="C9" s="81">
        <v>3264</v>
      </c>
    </row>
    <row r="10" spans="1:7" x14ac:dyDescent="0.25">
      <c r="A10" s="74" t="s">
        <v>55</v>
      </c>
      <c r="B10" s="80" t="s">
        <v>42</v>
      </c>
      <c r="C10" s="81">
        <v>2674</v>
      </c>
    </row>
    <row r="11" spans="1:7" x14ac:dyDescent="0.25">
      <c r="A11" s="74"/>
      <c r="B11" s="80"/>
      <c r="C11" s="81"/>
    </row>
    <row r="12" spans="1:7" x14ac:dyDescent="0.25">
      <c r="A12" s="74" t="s">
        <v>56</v>
      </c>
      <c r="B12" s="80" t="s">
        <v>42</v>
      </c>
      <c r="C12" s="81">
        <v>2674</v>
      </c>
    </row>
    <row r="13" spans="1:7" x14ac:dyDescent="0.25">
      <c r="A13" s="74" t="s">
        <v>57</v>
      </c>
      <c r="B13" s="80" t="s">
        <v>42</v>
      </c>
      <c r="C13" s="81">
        <v>2674</v>
      </c>
      <c r="G13">
        <f>2674/36*9</f>
        <v>668.5</v>
      </c>
    </row>
    <row r="14" spans="1:7" ht="15.75" thickBot="1" x14ac:dyDescent="0.3">
      <c r="A14" s="74" t="s">
        <v>58</v>
      </c>
      <c r="B14" s="80" t="s">
        <v>42</v>
      </c>
      <c r="C14" s="84">
        <v>2674</v>
      </c>
      <c r="D14" s="82"/>
    </row>
    <row r="15" spans="1:7" x14ac:dyDescent="0.25">
      <c r="C15" s="81">
        <f>SUM(C4:C14)</f>
        <v>117682</v>
      </c>
      <c r="D15" s="81" t="e">
        <f>SUM(D4:D14)</f>
        <v>#REF!</v>
      </c>
    </row>
    <row r="17" spans="1:3" x14ac:dyDescent="0.25">
      <c r="C17" s="81">
        <v>28301</v>
      </c>
    </row>
    <row r="18" spans="1:3" x14ac:dyDescent="0.25">
      <c r="C18" s="81"/>
    </row>
    <row r="19" spans="1:3" x14ac:dyDescent="0.25">
      <c r="C19" s="81"/>
    </row>
    <row r="20" spans="1:3" x14ac:dyDescent="0.25">
      <c r="A20" t="s">
        <v>45</v>
      </c>
      <c r="C20" s="81">
        <v>3264</v>
      </c>
    </row>
    <row r="21" spans="1:3" x14ac:dyDescent="0.25">
      <c r="A21" t="s">
        <v>59</v>
      </c>
      <c r="B21" t="s">
        <v>60</v>
      </c>
      <c r="C21" s="81">
        <v>2000</v>
      </c>
    </row>
    <row r="22" spans="1:3" x14ac:dyDescent="0.25">
      <c r="B22" t="s">
        <v>61</v>
      </c>
      <c r="C22" s="81">
        <v>650</v>
      </c>
    </row>
    <row r="23" spans="1:3" x14ac:dyDescent="0.25">
      <c r="B23" t="s">
        <v>62</v>
      </c>
      <c r="C23" s="95">
        <v>650</v>
      </c>
    </row>
    <row r="24" spans="1:3" x14ac:dyDescent="0.25">
      <c r="C24" s="96">
        <f>SUM(C20:C23)</f>
        <v>6564</v>
      </c>
    </row>
    <row r="25" spans="1:3" x14ac:dyDescent="0.25">
      <c r="C25" s="81"/>
    </row>
    <row r="26" spans="1:3" ht="20.25" customHeight="1" x14ac:dyDescent="0.25"/>
    <row r="27" spans="1:3" ht="30" x14ac:dyDescent="0.25">
      <c r="A27" s="76" t="s">
        <v>41</v>
      </c>
    </row>
    <row r="28" spans="1:3" ht="30" x14ac:dyDescent="0.25">
      <c r="A28" s="77" t="s">
        <v>46</v>
      </c>
    </row>
    <row r="29" spans="1:3" x14ac:dyDescent="0.25">
      <c r="A29" s="78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CAP</vt:lpstr>
      <vt:lpstr>Lilian</vt:lpstr>
      <vt:lpstr>Cap Table</vt:lpstr>
      <vt:lpstr>Stock Options</vt:lpstr>
      <vt:lpstr>'Cap Table'!OLE_LINK1</vt:lpstr>
      <vt:lpstr>'Cap Table'!OLE_LINK3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2015-08-04T18:57:45Z</dcterms:created>
  <dcterms:modified xsi:type="dcterms:W3CDTF">2024-06-24T05:50:58Z</dcterms:modified>
</cp:coreProperties>
</file>